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umpert\OneDrive - AFWA\Mark AFWA Files\State Wildlife Grants\Apportionments\"/>
    </mc:Choice>
  </mc:AlternateContent>
  <bookViews>
    <workbookView xWindow="480" yWindow="75" windowWidth="16800" windowHeight="6645"/>
  </bookViews>
  <sheets>
    <sheet name="Sheet1" sheetId="1" r:id="rId1"/>
  </sheets>
  <definedNames>
    <definedName name="_xlnm.Print_Area" localSheetId="0">Sheet1!$A$1:$T$62</definedName>
  </definedNames>
  <calcPr calcId="162913"/>
</workbook>
</file>

<file path=xl/calcChain.xml><?xml version="1.0" encoding="utf-8"?>
<calcChain xmlns="http://schemas.openxmlformats.org/spreadsheetml/2006/main">
  <c r="T3" i="1" l="1"/>
  <c r="H6" i="1"/>
  <c r="T5" i="1"/>
  <c r="R5" i="1"/>
  <c r="S5" i="1"/>
  <c r="N5" i="1"/>
  <c r="O5" i="1"/>
  <c r="P5" i="1"/>
  <c r="Q5" i="1"/>
  <c r="C5" i="1"/>
  <c r="D5" i="1"/>
  <c r="E5" i="1"/>
  <c r="F5" i="1"/>
  <c r="G5" i="1"/>
  <c r="I5" i="1"/>
  <c r="J5" i="1"/>
  <c r="K5" i="1"/>
  <c r="L5" i="1"/>
  <c r="M5" i="1"/>
  <c r="B5" i="1"/>
  <c r="T4" i="1"/>
  <c r="D6" i="1"/>
  <c r="E6" i="1"/>
  <c r="F6" i="1"/>
  <c r="G6" i="1"/>
  <c r="I6" i="1"/>
  <c r="J6" i="1"/>
  <c r="K6" i="1"/>
  <c r="L6" i="1"/>
  <c r="M6" i="1"/>
  <c r="N6" i="1"/>
  <c r="O6" i="1"/>
  <c r="P6" i="1"/>
  <c r="Q6" i="1"/>
  <c r="R6" i="1"/>
  <c r="S6" i="1"/>
  <c r="C6" i="1"/>
  <c r="B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8" i="1"/>
  <c r="T7" i="1"/>
  <c r="T2" i="1"/>
  <c r="T6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F12" i="1"/>
</calcChain>
</file>

<file path=xl/sharedStrings.xml><?xml version="1.0" encoding="utf-8"?>
<sst xmlns="http://schemas.openxmlformats.org/spreadsheetml/2006/main" count="138" uniqueCount="79">
  <si>
    <t xml:space="preserve">Total </t>
  </si>
  <si>
    <t>Tribal Grants</t>
  </si>
  <si>
    <t>Competitive Grants</t>
  </si>
  <si>
    <t>Total for States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</si>
  <si>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</si>
  <si>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</si>
  <si>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</si>
  <si>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</si>
  <si>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</si>
  <si>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</si>
  <si>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</si>
  <si>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</si>
  <si>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</si>
  <si>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</si>
  <si>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</si>
  <si>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</si>
  <si>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</si>
  <si>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</si>
  <si>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</si>
  <si>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</si>
  <si>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</si>
  <si>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</si>
  <si>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</si>
  <si>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</si>
  <si>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</si>
  <si>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</si>
  <si>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</si>
  <si>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</si>
  <si>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</si>
  <si>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</si>
  <si>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</si>
  <si>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</si>
  <si>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</si>
  <si>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N. Mariana Islands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</si>
  <si>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</si>
  <si>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</si>
  <si>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</si>
  <si>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</si>
  <si>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</si>
  <si>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</si>
  <si>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</si>
  <si>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</si>
  <si>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</si>
  <si>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</si>
  <si>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</si>
  <si>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</si>
  <si>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</si>
  <si>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</si>
  <si>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</si>
  <si>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</si>
  <si>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</si>
  <si>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</si>
  <si>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</si>
  <si>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</si>
  <si>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</si>
  <si>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</si>
  <si>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</si>
  <si>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</si>
  <si>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</si>
  <si>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</si>
  <si>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 xml:space="preserve">FY02 </t>
  </si>
  <si>
    <t xml:space="preserve">FY03 </t>
  </si>
  <si>
    <t xml:space="preserve">FY04 </t>
  </si>
  <si>
    <t>FY05</t>
  </si>
  <si>
    <t xml:space="preserve">FY06 </t>
  </si>
  <si>
    <t>FY07</t>
  </si>
  <si>
    <t>FY08</t>
  </si>
  <si>
    <t xml:space="preserve">FY09 </t>
  </si>
  <si>
    <t>FY10</t>
  </si>
  <si>
    <t>FY11</t>
  </si>
  <si>
    <t>FY12</t>
  </si>
  <si>
    <t>administrative(~)</t>
  </si>
  <si>
    <t>FY13</t>
  </si>
  <si>
    <t>FY14</t>
  </si>
  <si>
    <t>FY15</t>
  </si>
  <si>
    <t>FY16</t>
  </si>
  <si>
    <t>FY17</t>
  </si>
  <si>
    <t>FY01-FY17</t>
  </si>
  <si>
    <t>FY01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</si>
</sst>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left"/>
    </xf>
    <xf numFmtId="164" fontId="2" fillId="0" borderId="1" xfId="2" applyNumberFormat="1" applyFont="1" applyFill="1" applyBorder="1"/>
    <xf numFmtId="164" fontId="2" fillId="0" borderId="1" xfId="2" applyNumberFormat="1" applyFont="1" applyBorder="1"/>
    <xf numFmtId="164" fontId="2" fillId="0" borderId="1" xfId="1" applyNumberFormat="1" applyFont="1" applyFill="1" applyBorder="1" applyAlignment="1">
      <alignment horizontal="left"/>
    </xf>
    <xf numFmtId="164" fontId="2" fillId="0" borderId="0" xfId="0" applyNumberFormat="1" applyFont="1"/>
    <xf numFmtId="0" fontId="2" fillId="2" borderId="1" xfId="0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left"/>
    </xf>
    <xf numFmtId="164" fontId="2" fillId="2" borderId="1" xfId="2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0" fontId="2" fillId="0" borderId="2" xfId="0" applyFont="1" applyBorder="1"/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2" borderId="1" xfId="2" applyNumberFormat="1" applyFont="1" applyFill="1" applyBorder="1" applyAlignment="1">
      <alignment horizontal="left"/>
    </xf>
    <xf numFmtId="164" fontId="3" fillId="2" borderId="1" xfId="2" applyNumberFormat="1" applyFont="1" applyFill="1" applyBorder="1"/>
    <xf numFmtId="164" fontId="3" fillId="0" borderId="1" xfId="2" applyNumberFormat="1" applyFont="1" applyFill="1" applyBorder="1" applyAlignment="1">
      <alignment horizontal="left"/>
    </xf>
    <xf numFmtId="164" fontId="3" fillId="0" borderId="1" xfId="2" applyNumberFormat="1" applyFont="1" applyFill="1" applyBorder="1"/>
    <xf numFmtId="164" fontId="3" fillId="0" borderId="1" xfId="2" applyNumberFormat="1" applyFont="1" applyBorder="1"/>
    <xf numFmtId="0" fontId="2" fillId="2" borderId="4" xfId="0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left"/>
    </xf>
    <xf numFmtId="164" fontId="2" fillId="2" borderId="4" xfId="2" applyNumberFormat="1" applyFont="1" applyFill="1" applyBorder="1"/>
    <xf numFmtId="164" fontId="2" fillId="2" borderId="4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2" fillId="0" borderId="2" xfId="0" applyNumberFormat="1" applyFont="1" applyBorder="1"/>
    <xf numFmtId="0" fontId="4" fillId="0" borderId="2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164" fontId="2" fillId="0" borderId="5" xfId="0" applyNumberFormat="1" applyFont="1" applyBorder="1"/>
    <xf numFmtId="164" fontId="3" fillId="0" borderId="1" xfId="1" applyNumberFormat="1" applyFont="1" applyFill="1" applyBorder="1" applyAlignment="1">
      <alignment horizontal="left"/>
    </xf>
    <xf numFmtId="164" fontId="3" fillId="0" borderId="6" xfId="0" applyNumberFormat="1" applyFont="1" applyFill="1" applyBorder="1"/>
    <xf numFmtId="164" fontId="5" fillId="3" borderId="4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2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5" fillId="0" borderId="4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topLeftCell="A39" zoomScaleNormal="100" zoomScaleSheetLayoutView="100" workbookViewId="0">
      <pane xSplit="1" topLeftCell="E1" activePane="topRight" state="frozen"/>
      <selection activeCell="A2" sqref="A2"/>
      <selection pane="topRight" activeCell="T7" sqref="T7"/>
    </sheetView>
  </sheetViews>
  <sheetFormatPr defaultRowHeight="11.25" x14ac:dyDescent="0.2"/>
  <cols>
    <col min="1" max="1" width="17.42578125" style="12" customWidth="1"/>
    <col min="2" max="2" width="10.7109375" style="12" customWidth="1"/>
    <col min="3" max="3" width="12" style="12" customWidth="1"/>
    <col min="4" max="5" width="10.7109375" style="12" customWidth="1"/>
    <col min="6" max="6" width="10.5703125" style="12" customWidth="1"/>
    <col min="7" max="7" width="10.7109375" style="12" customWidth="1"/>
    <col min="8" max="8" width="16.28515625" style="12" hidden="1" customWidth="1"/>
    <col min="9" max="15" width="10.5703125" style="12" customWidth="1"/>
    <col min="16" max="19" width="12.42578125" style="12" customWidth="1"/>
    <col min="20" max="20" width="12.7109375" style="28" customWidth="1"/>
    <col min="21" max="21" width="10.7109375" style="1" bestFit="1" customWidth="1"/>
    <col min="22" max="262" width="9.140625" style="1"/>
    <col min="263" max="263" width="13.85546875" style="1" customWidth="1"/>
    <col min="264" max="264" width="10.7109375" style="1" customWidth="1"/>
    <col min="265" max="265" width="12" style="1" customWidth="1"/>
    <col min="266" max="267" width="10.7109375" style="1" customWidth="1"/>
    <col min="268" max="268" width="10.5703125" style="1" customWidth="1"/>
    <col min="269" max="269" width="10.7109375" style="1" customWidth="1"/>
    <col min="270" max="274" width="10.5703125" style="1" customWidth="1"/>
    <col min="275" max="275" width="11.42578125" style="1" customWidth="1"/>
    <col min="276" max="518" width="9.140625" style="1"/>
    <col min="519" max="519" width="13.85546875" style="1" customWidth="1"/>
    <col min="520" max="520" width="10.7109375" style="1" customWidth="1"/>
    <col min="521" max="521" width="12" style="1" customWidth="1"/>
    <col min="522" max="523" width="10.7109375" style="1" customWidth="1"/>
    <col min="524" max="524" width="10.5703125" style="1" customWidth="1"/>
    <col min="525" max="525" width="10.7109375" style="1" customWidth="1"/>
    <col min="526" max="530" width="10.5703125" style="1" customWidth="1"/>
    <col min="531" max="531" width="11.42578125" style="1" customWidth="1"/>
    <col min="532" max="774" width="9.140625" style="1"/>
    <col min="775" max="775" width="13.85546875" style="1" customWidth="1"/>
    <col min="776" max="776" width="10.7109375" style="1" customWidth="1"/>
    <col min="777" max="777" width="12" style="1" customWidth="1"/>
    <col min="778" max="779" width="10.7109375" style="1" customWidth="1"/>
    <col min="780" max="780" width="10.5703125" style="1" customWidth="1"/>
    <col min="781" max="781" width="10.7109375" style="1" customWidth="1"/>
    <col min="782" max="786" width="10.5703125" style="1" customWidth="1"/>
    <col min="787" max="787" width="11.42578125" style="1" customWidth="1"/>
    <col min="788" max="1030" width="9.140625" style="1"/>
    <col min="1031" max="1031" width="13.85546875" style="1" customWidth="1"/>
    <col min="1032" max="1032" width="10.7109375" style="1" customWidth="1"/>
    <col min="1033" max="1033" width="12" style="1" customWidth="1"/>
    <col min="1034" max="1035" width="10.7109375" style="1" customWidth="1"/>
    <col min="1036" max="1036" width="10.5703125" style="1" customWidth="1"/>
    <col min="1037" max="1037" width="10.7109375" style="1" customWidth="1"/>
    <col min="1038" max="1042" width="10.5703125" style="1" customWidth="1"/>
    <col min="1043" max="1043" width="11.42578125" style="1" customWidth="1"/>
    <col min="1044" max="1286" width="9.140625" style="1"/>
    <col min="1287" max="1287" width="13.85546875" style="1" customWidth="1"/>
    <col min="1288" max="1288" width="10.7109375" style="1" customWidth="1"/>
    <col min="1289" max="1289" width="12" style="1" customWidth="1"/>
    <col min="1290" max="1291" width="10.7109375" style="1" customWidth="1"/>
    <col min="1292" max="1292" width="10.5703125" style="1" customWidth="1"/>
    <col min="1293" max="1293" width="10.7109375" style="1" customWidth="1"/>
    <col min="1294" max="1298" width="10.5703125" style="1" customWidth="1"/>
    <col min="1299" max="1299" width="11.42578125" style="1" customWidth="1"/>
    <col min="1300" max="1542" width="9.140625" style="1"/>
    <col min="1543" max="1543" width="13.85546875" style="1" customWidth="1"/>
    <col min="1544" max="1544" width="10.7109375" style="1" customWidth="1"/>
    <col min="1545" max="1545" width="12" style="1" customWidth="1"/>
    <col min="1546" max="1547" width="10.7109375" style="1" customWidth="1"/>
    <col min="1548" max="1548" width="10.5703125" style="1" customWidth="1"/>
    <col min="1549" max="1549" width="10.7109375" style="1" customWidth="1"/>
    <col min="1550" max="1554" width="10.5703125" style="1" customWidth="1"/>
    <col min="1555" max="1555" width="11.42578125" style="1" customWidth="1"/>
    <col min="1556" max="1798" width="9.140625" style="1"/>
    <col min="1799" max="1799" width="13.85546875" style="1" customWidth="1"/>
    <col min="1800" max="1800" width="10.7109375" style="1" customWidth="1"/>
    <col min="1801" max="1801" width="12" style="1" customWidth="1"/>
    <col min="1802" max="1803" width="10.7109375" style="1" customWidth="1"/>
    <col min="1804" max="1804" width="10.5703125" style="1" customWidth="1"/>
    <col min="1805" max="1805" width="10.7109375" style="1" customWidth="1"/>
    <col min="1806" max="1810" width="10.5703125" style="1" customWidth="1"/>
    <col min="1811" max="1811" width="11.42578125" style="1" customWidth="1"/>
    <col min="1812" max="2054" width="9.140625" style="1"/>
    <col min="2055" max="2055" width="13.85546875" style="1" customWidth="1"/>
    <col min="2056" max="2056" width="10.7109375" style="1" customWidth="1"/>
    <col min="2057" max="2057" width="12" style="1" customWidth="1"/>
    <col min="2058" max="2059" width="10.7109375" style="1" customWidth="1"/>
    <col min="2060" max="2060" width="10.5703125" style="1" customWidth="1"/>
    <col min="2061" max="2061" width="10.7109375" style="1" customWidth="1"/>
    <col min="2062" max="2066" width="10.5703125" style="1" customWidth="1"/>
    <col min="2067" max="2067" width="11.42578125" style="1" customWidth="1"/>
    <col min="2068" max="2310" width="9.140625" style="1"/>
    <col min="2311" max="2311" width="13.85546875" style="1" customWidth="1"/>
    <col min="2312" max="2312" width="10.7109375" style="1" customWidth="1"/>
    <col min="2313" max="2313" width="12" style="1" customWidth="1"/>
    <col min="2314" max="2315" width="10.7109375" style="1" customWidth="1"/>
    <col min="2316" max="2316" width="10.5703125" style="1" customWidth="1"/>
    <col min="2317" max="2317" width="10.7109375" style="1" customWidth="1"/>
    <col min="2318" max="2322" width="10.5703125" style="1" customWidth="1"/>
    <col min="2323" max="2323" width="11.42578125" style="1" customWidth="1"/>
    <col min="2324" max="2566" width="9.140625" style="1"/>
    <col min="2567" max="2567" width="13.85546875" style="1" customWidth="1"/>
    <col min="2568" max="2568" width="10.7109375" style="1" customWidth="1"/>
    <col min="2569" max="2569" width="12" style="1" customWidth="1"/>
    <col min="2570" max="2571" width="10.7109375" style="1" customWidth="1"/>
    <col min="2572" max="2572" width="10.5703125" style="1" customWidth="1"/>
    <col min="2573" max="2573" width="10.7109375" style="1" customWidth="1"/>
    <col min="2574" max="2578" width="10.5703125" style="1" customWidth="1"/>
    <col min="2579" max="2579" width="11.42578125" style="1" customWidth="1"/>
    <col min="2580" max="2822" width="9.140625" style="1"/>
    <col min="2823" max="2823" width="13.85546875" style="1" customWidth="1"/>
    <col min="2824" max="2824" width="10.7109375" style="1" customWidth="1"/>
    <col min="2825" max="2825" width="12" style="1" customWidth="1"/>
    <col min="2826" max="2827" width="10.7109375" style="1" customWidth="1"/>
    <col min="2828" max="2828" width="10.5703125" style="1" customWidth="1"/>
    <col min="2829" max="2829" width="10.7109375" style="1" customWidth="1"/>
    <col min="2830" max="2834" width="10.5703125" style="1" customWidth="1"/>
    <col min="2835" max="2835" width="11.42578125" style="1" customWidth="1"/>
    <col min="2836" max="3078" width="9.140625" style="1"/>
    <col min="3079" max="3079" width="13.85546875" style="1" customWidth="1"/>
    <col min="3080" max="3080" width="10.7109375" style="1" customWidth="1"/>
    <col min="3081" max="3081" width="12" style="1" customWidth="1"/>
    <col min="3082" max="3083" width="10.7109375" style="1" customWidth="1"/>
    <col min="3084" max="3084" width="10.5703125" style="1" customWidth="1"/>
    <col min="3085" max="3085" width="10.7109375" style="1" customWidth="1"/>
    <col min="3086" max="3090" width="10.5703125" style="1" customWidth="1"/>
    <col min="3091" max="3091" width="11.42578125" style="1" customWidth="1"/>
    <col min="3092" max="3334" width="9.140625" style="1"/>
    <col min="3335" max="3335" width="13.85546875" style="1" customWidth="1"/>
    <col min="3336" max="3336" width="10.7109375" style="1" customWidth="1"/>
    <col min="3337" max="3337" width="12" style="1" customWidth="1"/>
    <col min="3338" max="3339" width="10.7109375" style="1" customWidth="1"/>
    <col min="3340" max="3340" width="10.5703125" style="1" customWidth="1"/>
    <col min="3341" max="3341" width="10.7109375" style="1" customWidth="1"/>
    <col min="3342" max="3346" width="10.5703125" style="1" customWidth="1"/>
    <col min="3347" max="3347" width="11.42578125" style="1" customWidth="1"/>
    <col min="3348" max="3590" width="9.140625" style="1"/>
    <col min="3591" max="3591" width="13.85546875" style="1" customWidth="1"/>
    <col min="3592" max="3592" width="10.7109375" style="1" customWidth="1"/>
    <col min="3593" max="3593" width="12" style="1" customWidth="1"/>
    <col min="3594" max="3595" width="10.7109375" style="1" customWidth="1"/>
    <col min="3596" max="3596" width="10.5703125" style="1" customWidth="1"/>
    <col min="3597" max="3597" width="10.7109375" style="1" customWidth="1"/>
    <col min="3598" max="3602" width="10.5703125" style="1" customWidth="1"/>
    <col min="3603" max="3603" width="11.42578125" style="1" customWidth="1"/>
    <col min="3604" max="3846" width="9.140625" style="1"/>
    <col min="3847" max="3847" width="13.85546875" style="1" customWidth="1"/>
    <col min="3848" max="3848" width="10.7109375" style="1" customWidth="1"/>
    <col min="3849" max="3849" width="12" style="1" customWidth="1"/>
    <col min="3850" max="3851" width="10.7109375" style="1" customWidth="1"/>
    <col min="3852" max="3852" width="10.5703125" style="1" customWidth="1"/>
    <col min="3853" max="3853" width="10.7109375" style="1" customWidth="1"/>
    <col min="3854" max="3858" width="10.5703125" style="1" customWidth="1"/>
    <col min="3859" max="3859" width="11.42578125" style="1" customWidth="1"/>
    <col min="3860" max="4102" width="9.140625" style="1"/>
    <col min="4103" max="4103" width="13.85546875" style="1" customWidth="1"/>
    <col min="4104" max="4104" width="10.7109375" style="1" customWidth="1"/>
    <col min="4105" max="4105" width="12" style="1" customWidth="1"/>
    <col min="4106" max="4107" width="10.7109375" style="1" customWidth="1"/>
    <col min="4108" max="4108" width="10.5703125" style="1" customWidth="1"/>
    <col min="4109" max="4109" width="10.7109375" style="1" customWidth="1"/>
    <col min="4110" max="4114" width="10.5703125" style="1" customWidth="1"/>
    <col min="4115" max="4115" width="11.42578125" style="1" customWidth="1"/>
    <col min="4116" max="4358" width="9.140625" style="1"/>
    <col min="4359" max="4359" width="13.85546875" style="1" customWidth="1"/>
    <col min="4360" max="4360" width="10.7109375" style="1" customWidth="1"/>
    <col min="4361" max="4361" width="12" style="1" customWidth="1"/>
    <col min="4362" max="4363" width="10.7109375" style="1" customWidth="1"/>
    <col min="4364" max="4364" width="10.5703125" style="1" customWidth="1"/>
    <col min="4365" max="4365" width="10.7109375" style="1" customWidth="1"/>
    <col min="4366" max="4370" width="10.5703125" style="1" customWidth="1"/>
    <col min="4371" max="4371" width="11.42578125" style="1" customWidth="1"/>
    <col min="4372" max="4614" width="9.140625" style="1"/>
    <col min="4615" max="4615" width="13.85546875" style="1" customWidth="1"/>
    <col min="4616" max="4616" width="10.7109375" style="1" customWidth="1"/>
    <col min="4617" max="4617" width="12" style="1" customWidth="1"/>
    <col min="4618" max="4619" width="10.7109375" style="1" customWidth="1"/>
    <col min="4620" max="4620" width="10.5703125" style="1" customWidth="1"/>
    <col min="4621" max="4621" width="10.7109375" style="1" customWidth="1"/>
    <col min="4622" max="4626" width="10.5703125" style="1" customWidth="1"/>
    <col min="4627" max="4627" width="11.42578125" style="1" customWidth="1"/>
    <col min="4628" max="4870" width="9.140625" style="1"/>
    <col min="4871" max="4871" width="13.85546875" style="1" customWidth="1"/>
    <col min="4872" max="4872" width="10.7109375" style="1" customWidth="1"/>
    <col min="4873" max="4873" width="12" style="1" customWidth="1"/>
    <col min="4874" max="4875" width="10.7109375" style="1" customWidth="1"/>
    <col min="4876" max="4876" width="10.5703125" style="1" customWidth="1"/>
    <col min="4877" max="4877" width="10.7109375" style="1" customWidth="1"/>
    <col min="4878" max="4882" width="10.5703125" style="1" customWidth="1"/>
    <col min="4883" max="4883" width="11.42578125" style="1" customWidth="1"/>
    <col min="4884" max="5126" width="9.140625" style="1"/>
    <col min="5127" max="5127" width="13.85546875" style="1" customWidth="1"/>
    <col min="5128" max="5128" width="10.7109375" style="1" customWidth="1"/>
    <col min="5129" max="5129" width="12" style="1" customWidth="1"/>
    <col min="5130" max="5131" width="10.7109375" style="1" customWidth="1"/>
    <col min="5132" max="5132" width="10.5703125" style="1" customWidth="1"/>
    <col min="5133" max="5133" width="10.7109375" style="1" customWidth="1"/>
    <col min="5134" max="5138" width="10.5703125" style="1" customWidth="1"/>
    <col min="5139" max="5139" width="11.42578125" style="1" customWidth="1"/>
    <col min="5140" max="5382" width="9.140625" style="1"/>
    <col min="5383" max="5383" width="13.85546875" style="1" customWidth="1"/>
    <col min="5384" max="5384" width="10.7109375" style="1" customWidth="1"/>
    <col min="5385" max="5385" width="12" style="1" customWidth="1"/>
    <col min="5386" max="5387" width="10.7109375" style="1" customWidth="1"/>
    <col min="5388" max="5388" width="10.5703125" style="1" customWidth="1"/>
    <col min="5389" max="5389" width="10.7109375" style="1" customWidth="1"/>
    <col min="5390" max="5394" width="10.5703125" style="1" customWidth="1"/>
    <col min="5395" max="5395" width="11.42578125" style="1" customWidth="1"/>
    <col min="5396" max="5638" width="9.140625" style="1"/>
    <col min="5639" max="5639" width="13.85546875" style="1" customWidth="1"/>
    <col min="5640" max="5640" width="10.7109375" style="1" customWidth="1"/>
    <col min="5641" max="5641" width="12" style="1" customWidth="1"/>
    <col min="5642" max="5643" width="10.7109375" style="1" customWidth="1"/>
    <col min="5644" max="5644" width="10.5703125" style="1" customWidth="1"/>
    <col min="5645" max="5645" width="10.7109375" style="1" customWidth="1"/>
    <col min="5646" max="5650" width="10.5703125" style="1" customWidth="1"/>
    <col min="5651" max="5651" width="11.42578125" style="1" customWidth="1"/>
    <col min="5652" max="5894" width="9.140625" style="1"/>
    <col min="5895" max="5895" width="13.85546875" style="1" customWidth="1"/>
    <col min="5896" max="5896" width="10.7109375" style="1" customWidth="1"/>
    <col min="5897" max="5897" width="12" style="1" customWidth="1"/>
    <col min="5898" max="5899" width="10.7109375" style="1" customWidth="1"/>
    <col min="5900" max="5900" width="10.5703125" style="1" customWidth="1"/>
    <col min="5901" max="5901" width="10.7109375" style="1" customWidth="1"/>
    <col min="5902" max="5906" width="10.5703125" style="1" customWidth="1"/>
    <col min="5907" max="5907" width="11.42578125" style="1" customWidth="1"/>
    <col min="5908" max="6150" width="9.140625" style="1"/>
    <col min="6151" max="6151" width="13.85546875" style="1" customWidth="1"/>
    <col min="6152" max="6152" width="10.7109375" style="1" customWidth="1"/>
    <col min="6153" max="6153" width="12" style="1" customWidth="1"/>
    <col min="6154" max="6155" width="10.7109375" style="1" customWidth="1"/>
    <col min="6156" max="6156" width="10.5703125" style="1" customWidth="1"/>
    <col min="6157" max="6157" width="10.7109375" style="1" customWidth="1"/>
    <col min="6158" max="6162" width="10.5703125" style="1" customWidth="1"/>
    <col min="6163" max="6163" width="11.42578125" style="1" customWidth="1"/>
    <col min="6164" max="6406" width="9.140625" style="1"/>
    <col min="6407" max="6407" width="13.85546875" style="1" customWidth="1"/>
    <col min="6408" max="6408" width="10.7109375" style="1" customWidth="1"/>
    <col min="6409" max="6409" width="12" style="1" customWidth="1"/>
    <col min="6410" max="6411" width="10.7109375" style="1" customWidth="1"/>
    <col min="6412" max="6412" width="10.5703125" style="1" customWidth="1"/>
    <col min="6413" max="6413" width="10.7109375" style="1" customWidth="1"/>
    <col min="6414" max="6418" width="10.5703125" style="1" customWidth="1"/>
    <col min="6419" max="6419" width="11.42578125" style="1" customWidth="1"/>
    <col min="6420" max="6662" width="9.140625" style="1"/>
    <col min="6663" max="6663" width="13.85546875" style="1" customWidth="1"/>
    <col min="6664" max="6664" width="10.7109375" style="1" customWidth="1"/>
    <col min="6665" max="6665" width="12" style="1" customWidth="1"/>
    <col min="6666" max="6667" width="10.7109375" style="1" customWidth="1"/>
    <col min="6668" max="6668" width="10.5703125" style="1" customWidth="1"/>
    <col min="6669" max="6669" width="10.7109375" style="1" customWidth="1"/>
    <col min="6670" max="6674" width="10.5703125" style="1" customWidth="1"/>
    <col min="6675" max="6675" width="11.42578125" style="1" customWidth="1"/>
    <col min="6676" max="6918" width="9.140625" style="1"/>
    <col min="6919" max="6919" width="13.85546875" style="1" customWidth="1"/>
    <col min="6920" max="6920" width="10.7109375" style="1" customWidth="1"/>
    <col min="6921" max="6921" width="12" style="1" customWidth="1"/>
    <col min="6922" max="6923" width="10.7109375" style="1" customWidth="1"/>
    <col min="6924" max="6924" width="10.5703125" style="1" customWidth="1"/>
    <col min="6925" max="6925" width="10.7109375" style="1" customWidth="1"/>
    <col min="6926" max="6930" width="10.5703125" style="1" customWidth="1"/>
    <col min="6931" max="6931" width="11.42578125" style="1" customWidth="1"/>
    <col min="6932" max="7174" width="9.140625" style="1"/>
    <col min="7175" max="7175" width="13.85546875" style="1" customWidth="1"/>
    <col min="7176" max="7176" width="10.7109375" style="1" customWidth="1"/>
    <col min="7177" max="7177" width="12" style="1" customWidth="1"/>
    <col min="7178" max="7179" width="10.7109375" style="1" customWidth="1"/>
    <col min="7180" max="7180" width="10.5703125" style="1" customWidth="1"/>
    <col min="7181" max="7181" width="10.7109375" style="1" customWidth="1"/>
    <col min="7182" max="7186" width="10.5703125" style="1" customWidth="1"/>
    <col min="7187" max="7187" width="11.42578125" style="1" customWidth="1"/>
    <col min="7188" max="7430" width="9.140625" style="1"/>
    <col min="7431" max="7431" width="13.85546875" style="1" customWidth="1"/>
    <col min="7432" max="7432" width="10.7109375" style="1" customWidth="1"/>
    <col min="7433" max="7433" width="12" style="1" customWidth="1"/>
    <col min="7434" max="7435" width="10.7109375" style="1" customWidth="1"/>
    <col min="7436" max="7436" width="10.5703125" style="1" customWidth="1"/>
    <col min="7437" max="7437" width="10.7109375" style="1" customWidth="1"/>
    <col min="7438" max="7442" width="10.5703125" style="1" customWidth="1"/>
    <col min="7443" max="7443" width="11.42578125" style="1" customWidth="1"/>
    <col min="7444" max="7686" width="9.140625" style="1"/>
    <col min="7687" max="7687" width="13.85546875" style="1" customWidth="1"/>
    <col min="7688" max="7688" width="10.7109375" style="1" customWidth="1"/>
    <col min="7689" max="7689" width="12" style="1" customWidth="1"/>
    <col min="7690" max="7691" width="10.7109375" style="1" customWidth="1"/>
    <col min="7692" max="7692" width="10.5703125" style="1" customWidth="1"/>
    <col min="7693" max="7693" width="10.7109375" style="1" customWidth="1"/>
    <col min="7694" max="7698" width="10.5703125" style="1" customWidth="1"/>
    <col min="7699" max="7699" width="11.42578125" style="1" customWidth="1"/>
    <col min="7700" max="7942" width="9.140625" style="1"/>
    <col min="7943" max="7943" width="13.85546875" style="1" customWidth="1"/>
    <col min="7944" max="7944" width="10.7109375" style="1" customWidth="1"/>
    <col min="7945" max="7945" width="12" style="1" customWidth="1"/>
    <col min="7946" max="7947" width="10.7109375" style="1" customWidth="1"/>
    <col min="7948" max="7948" width="10.5703125" style="1" customWidth="1"/>
    <col min="7949" max="7949" width="10.7109375" style="1" customWidth="1"/>
    <col min="7950" max="7954" width="10.5703125" style="1" customWidth="1"/>
    <col min="7955" max="7955" width="11.42578125" style="1" customWidth="1"/>
    <col min="7956" max="8198" width="9.140625" style="1"/>
    <col min="8199" max="8199" width="13.85546875" style="1" customWidth="1"/>
    <col min="8200" max="8200" width="10.7109375" style="1" customWidth="1"/>
    <col min="8201" max="8201" width="12" style="1" customWidth="1"/>
    <col min="8202" max="8203" width="10.7109375" style="1" customWidth="1"/>
    <col min="8204" max="8204" width="10.5703125" style="1" customWidth="1"/>
    <col min="8205" max="8205" width="10.7109375" style="1" customWidth="1"/>
    <col min="8206" max="8210" width="10.5703125" style="1" customWidth="1"/>
    <col min="8211" max="8211" width="11.42578125" style="1" customWidth="1"/>
    <col min="8212" max="8454" width="9.140625" style="1"/>
    <col min="8455" max="8455" width="13.85546875" style="1" customWidth="1"/>
    <col min="8456" max="8456" width="10.7109375" style="1" customWidth="1"/>
    <col min="8457" max="8457" width="12" style="1" customWidth="1"/>
    <col min="8458" max="8459" width="10.7109375" style="1" customWidth="1"/>
    <col min="8460" max="8460" width="10.5703125" style="1" customWidth="1"/>
    <col min="8461" max="8461" width="10.7109375" style="1" customWidth="1"/>
    <col min="8462" max="8466" width="10.5703125" style="1" customWidth="1"/>
    <col min="8467" max="8467" width="11.42578125" style="1" customWidth="1"/>
    <col min="8468" max="8710" width="9.140625" style="1"/>
    <col min="8711" max="8711" width="13.85546875" style="1" customWidth="1"/>
    <col min="8712" max="8712" width="10.7109375" style="1" customWidth="1"/>
    <col min="8713" max="8713" width="12" style="1" customWidth="1"/>
    <col min="8714" max="8715" width="10.7109375" style="1" customWidth="1"/>
    <col min="8716" max="8716" width="10.5703125" style="1" customWidth="1"/>
    <col min="8717" max="8717" width="10.7109375" style="1" customWidth="1"/>
    <col min="8718" max="8722" width="10.5703125" style="1" customWidth="1"/>
    <col min="8723" max="8723" width="11.42578125" style="1" customWidth="1"/>
    <col min="8724" max="8966" width="9.140625" style="1"/>
    <col min="8967" max="8967" width="13.85546875" style="1" customWidth="1"/>
    <col min="8968" max="8968" width="10.7109375" style="1" customWidth="1"/>
    <col min="8969" max="8969" width="12" style="1" customWidth="1"/>
    <col min="8970" max="8971" width="10.7109375" style="1" customWidth="1"/>
    <col min="8972" max="8972" width="10.5703125" style="1" customWidth="1"/>
    <col min="8973" max="8973" width="10.7109375" style="1" customWidth="1"/>
    <col min="8974" max="8978" width="10.5703125" style="1" customWidth="1"/>
    <col min="8979" max="8979" width="11.42578125" style="1" customWidth="1"/>
    <col min="8980" max="9222" width="9.140625" style="1"/>
    <col min="9223" max="9223" width="13.85546875" style="1" customWidth="1"/>
    <col min="9224" max="9224" width="10.7109375" style="1" customWidth="1"/>
    <col min="9225" max="9225" width="12" style="1" customWidth="1"/>
    <col min="9226" max="9227" width="10.7109375" style="1" customWidth="1"/>
    <col min="9228" max="9228" width="10.5703125" style="1" customWidth="1"/>
    <col min="9229" max="9229" width="10.7109375" style="1" customWidth="1"/>
    <col min="9230" max="9234" width="10.5703125" style="1" customWidth="1"/>
    <col min="9235" max="9235" width="11.42578125" style="1" customWidth="1"/>
    <col min="9236" max="9478" width="9.140625" style="1"/>
    <col min="9479" max="9479" width="13.85546875" style="1" customWidth="1"/>
    <col min="9480" max="9480" width="10.7109375" style="1" customWidth="1"/>
    <col min="9481" max="9481" width="12" style="1" customWidth="1"/>
    <col min="9482" max="9483" width="10.7109375" style="1" customWidth="1"/>
    <col min="9484" max="9484" width="10.5703125" style="1" customWidth="1"/>
    <col min="9485" max="9485" width="10.7109375" style="1" customWidth="1"/>
    <col min="9486" max="9490" width="10.5703125" style="1" customWidth="1"/>
    <col min="9491" max="9491" width="11.42578125" style="1" customWidth="1"/>
    <col min="9492" max="9734" width="9.140625" style="1"/>
    <col min="9735" max="9735" width="13.85546875" style="1" customWidth="1"/>
    <col min="9736" max="9736" width="10.7109375" style="1" customWidth="1"/>
    <col min="9737" max="9737" width="12" style="1" customWidth="1"/>
    <col min="9738" max="9739" width="10.7109375" style="1" customWidth="1"/>
    <col min="9740" max="9740" width="10.5703125" style="1" customWidth="1"/>
    <col min="9741" max="9741" width="10.7109375" style="1" customWidth="1"/>
    <col min="9742" max="9746" width="10.5703125" style="1" customWidth="1"/>
    <col min="9747" max="9747" width="11.42578125" style="1" customWidth="1"/>
    <col min="9748" max="9990" width="9.140625" style="1"/>
    <col min="9991" max="9991" width="13.85546875" style="1" customWidth="1"/>
    <col min="9992" max="9992" width="10.7109375" style="1" customWidth="1"/>
    <col min="9993" max="9993" width="12" style="1" customWidth="1"/>
    <col min="9994" max="9995" width="10.7109375" style="1" customWidth="1"/>
    <col min="9996" max="9996" width="10.5703125" style="1" customWidth="1"/>
    <col min="9997" max="9997" width="10.7109375" style="1" customWidth="1"/>
    <col min="9998" max="10002" width="10.5703125" style="1" customWidth="1"/>
    <col min="10003" max="10003" width="11.42578125" style="1" customWidth="1"/>
    <col min="10004" max="10246" width="9.140625" style="1"/>
    <col min="10247" max="10247" width="13.85546875" style="1" customWidth="1"/>
    <col min="10248" max="10248" width="10.7109375" style="1" customWidth="1"/>
    <col min="10249" max="10249" width="12" style="1" customWidth="1"/>
    <col min="10250" max="10251" width="10.7109375" style="1" customWidth="1"/>
    <col min="10252" max="10252" width="10.5703125" style="1" customWidth="1"/>
    <col min="10253" max="10253" width="10.7109375" style="1" customWidth="1"/>
    <col min="10254" max="10258" width="10.5703125" style="1" customWidth="1"/>
    <col min="10259" max="10259" width="11.42578125" style="1" customWidth="1"/>
    <col min="10260" max="10502" width="9.140625" style="1"/>
    <col min="10503" max="10503" width="13.85546875" style="1" customWidth="1"/>
    <col min="10504" max="10504" width="10.7109375" style="1" customWidth="1"/>
    <col min="10505" max="10505" width="12" style="1" customWidth="1"/>
    <col min="10506" max="10507" width="10.7109375" style="1" customWidth="1"/>
    <col min="10508" max="10508" width="10.5703125" style="1" customWidth="1"/>
    <col min="10509" max="10509" width="10.7109375" style="1" customWidth="1"/>
    <col min="10510" max="10514" width="10.5703125" style="1" customWidth="1"/>
    <col min="10515" max="10515" width="11.42578125" style="1" customWidth="1"/>
    <col min="10516" max="10758" width="9.140625" style="1"/>
    <col min="10759" max="10759" width="13.85546875" style="1" customWidth="1"/>
    <col min="10760" max="10760" width="10.7109375" style="1" customWidth="1"/>
    <col min="10761" max="10761" width="12" style="1" customWidth="1"/>
    <col min="10762" max="10763" width="10.7109375" style="1" customWidth="1"/>
    <col min="10764" max="10764" width="10.5703125" style="1" customWidth="1"/>
    <col min="10765" max="10765" width="10.7109375" style="1" customWidth="1"/>
    <col min="10766" max="10770" width="10.5703125" style="1" customWidth="1"/>
    <col min="10771" max="10771" width="11.42578125" style="1" customWidth="1"/>
    <col min="10772" max="11014" width="9.140625" style="1"/>
    <col min="11015" max="11015" width="13.85546875" style="1" customWidth="1"/>
    <col min="11016" max="11016" width="10.7109375" style="1" customWidth="1"/>
    <col min="11017" max="11017" width="12" style="1" customWidth="1"/>
    <col min="11018" max="11019" width="10.7109375" style="1" customWidth="1"/>
    <col min="11020" max="11020" width="10.5703125" style="1" customWidth="1"/>
    <col min="11021" max="11021" width="10.7109375" style="1" customWidth="1"/>
    <col min="11022" max="11026" width="10.5703125" style="1" customWidth="1"/>
    <col min="11027" max="11027" width="11.42578125" style="1" customWidth="1"/>
    <col min="11028" max="11270" width="9.140625" style="1"/>
    <col min="11271" max="11271" width="13.85546875" style="1" customWidth="1"/>
    <col min="11272" max="11272" width="10.7109375" style="1" customWidth="1"/>
    <col min="11273" max="11273" width="12" style="1" customWidth="1"/>
    <col min="11274" max="11275" width="10.7109375" style="1" customWidth="1"/>
    <col min="11276" max="11276" width="10.5703125" style="1" customWidth="1"/>
    <col min="11277" max="11277" width="10.7109375" style="1" customWidth="1"/>
    <col min="11278" max="11282" width="10.5703125" style="1" customWidth="1"/>
    <col min="11283" max="11283" width="11.42578125" style="1" customWidth="1"/>
    <col min="11284" max="11526" width="9.140625" style="1"/>
    <col min="11527" max="11527" width="13.85546875" style="1" customWidth="1"/>
    <col min="11528" max="11528" width="10.7109375" style="1" customWidth="1"/>
    <col min="11529" max="11529" width="12" style="1" customWidth="1"/>
    <col min="11530" max="11531" width="10.7109375" style="1" customWidth="1"/>
    <col min="11532" max="11532" width="10.5703125" style="1" customWidth="1"/>
    <col min="11533" max="11533" width="10.7109375" style="1" customWidth="1"/>
    <col min="11534" max="11538" width="10.5703125" style="1" customWidth="1"/>
    <col min="11539" max="11539" width="11.42578125" style="1" customWidth="1"/>
    <col min="11540" max="11782" width="9.140625" style="1"/>
    <col min="11783" max="11783" width="13.85546875" style="1" customWidth="1"/>
    <col min="11784" max="11784" width="10.7109375" style="1" customWidth="1"/>
    <col min="11785" max="11785" width="12" style="1" customWidth="1"/>
    <col min="11786" max="11787" width="10.7109375" style="1" customWidth="1"/>
    <col min="11788" max="11788" width="10.5703125" style="1" customWidth="1"/>
    <col min="11789" max="11789" width="10.7109375" style="1" customWidth="1"/>
    <col min="11790" max="11794" width="10.5703125" style="1" customWidth="1"/>
    <col min="11795" max="11795" width="11.42578125" style="1" customWidth="1"/>
    <col min="11796" max="12038" width="9.140625" style="1"/>
    <col min="12039" max="12039" width="13.85546875" style="1" customWidth="1"/>
    <col min="12040" max="12040" width="10.7109375" style="1" customWidth="1"/>
    <col min="12041" max="12041" width="12" style="1" customWidth="1"/>
    <col min="12042" max="12043" width="10.7109375" style="1" customWidth="1"/>
    <col min="12044" max="12044" width="10.5703125" style="1" customWidth="1"/>
    <col min="12045" max="12045" width="10.7109375" style="1" customWidth="1"/>
    <col min="12046" max="12050" width="10.5703125" style="1" customWidth="1"/>
    <col min="12051" max="12051" width="11.42578125" style="1" customWidth="1"/>
    <col min="12052" max="12294" width="9.140625" style="1"/>
    <col min="12295" max="12295" width="13.85546875" style="1" customWidth="1"/>
    <col min="12296" max="12296" width="10.7109375" style="1" customWidth="1"/>
    <col min="12297" max="12297" width="12" style="1" customWidth="1"/>
    <col min="12298" max="12299" width="10.7109375" style="1" customWidth="1"/>
    <col min="12300" max="12300" width="10.5703125" style="1" customWidth="1"/>
    <col min="12301" max="12301" width="10.7109375" style="1" customWidth="1"/>
    <col min="12302" max="12306" width="10.5703125" style="1" customWidth="1"/>
    <col min="12307" max="12307" width="11.42578125" style="1" customWidth="1"/>
    <col min="12308" max="12550" width="9.140625" style="1"/>
    <col min="12551" max="12551" width="13.85546875" style="1" customWidth="1"/>
    <col min="12552" max="12552" width="10.7109375" style="1" customWidth="1"/>
    <col min="12553" max="12553" width="12" style="1" customWidth="1"/>
    <col min="12554" max="12555" width="10.7109375" style="1" customWidth="1"/>
    <col min="12556" max="12556" width="10.5703125" style="1" customWidth="1"/>
    <col min="12557" max="12557" width="10.7109375" style="1" customWidth="1"/>
    <col min="12558" max="12562" width="10.5703125" style="1" customWidth="1"/>
    <col min="12563" max="12563" width="11.42578125" style="1" customWidth="1"/>
    <col min="12564" max="12806" width="9.140625" style="1"/>
    <col min="12807" max="12807" width="13.85546875" style="1" customWidth="1"/>
    <col min="12808" max="12808" width="10.7109375" style="1" customWidth="1"/>
    <col min="12809" max="12809" width="12" style="1" customWidth="1"/>
    <col min="12810" max="12811" width="10.7109375" style="1" customWidth="1"/>
    <col min="12812" max="12812" width="10.5703125" style="1" customWidth="1"/>
    <col min="12813" max="12813" width="10.7109375" style="1" customWidth="1"/>
    <col min="12814" max="12818" width="10.5703125" style="1" customWidth="1"/>
    <col min="12819" max="12819" width="11.42578125" style="1" customWidth="1"/>
    <col min="12820" max="13062" width="9.140625" style="1"/>
    <col min="13063" max="13063" width="13.85546875" style="1" customWidth="1"/>
    <col min="13064" max="13064" width="10.7109375" style="1" customWidth="1"/>
    <col min="13065" max="13065" width="12" style="1" customWidth="1"/>
    <col min="13066" max="13067" width="10.7109375" style="1" customWidth="1"/>
    <col min="13068" max="13068" width="10.5703125" style="1" customWidth="1"/>
    <col min="13069" max="13069" width="10.7109375" style="1" customWidth="1"/>
    <col min="13070" max="13074" width="10.5703125" style="1" customWidth="1"/>
    <col min="13075" max="13075" width="11.42578125" style="1" customWidth="1"/>
    <col min="13076" max="13318" width="9.140625" style="1"/>
    <col min="13319" max="13319" width="13.85546875" style="1" customWidth="1"/>
    <col min="13320" max="13320" width="10.7109375" style="1" customWidth="1"/>
    <col min="13321" max="13321" width="12" style="1" customWidth="1"/>
    <col min="13322" max="13323" width="10.7109375" style="1" customWidth="1"/>
    <col min="13324" max="13324" width="10.5703125" style="1" customWidth="1"/>
    <col min="13325" max="13325" width="10.7109375" style="1" customWidth="1"/>
    <col min="13326" max="13330" width="10.5703125" style="1" customWidth="1"/>
    <col min="13331" max="13331" width="11.42578125" style="1" customWidth="1"/>
    <col min="13332" max="13574" width="9.140625" style="1"/>
    <col min="13575" max="13575" width="13.85546875" style="1" customWidth="1"/>
    <col min="13576" max="13576" width="10.7109375" style="1" customWidth="1"/>
    <col min="13577" max="13577" width="12" style="1" customWidth="1"/>
    <col min="13578" max="13579" width="10.7109375" style="1" customWidth="1"/>
    <col min="13580" max="13580" width="10.5703125" style="1" customWidth="1"/>
    <col min="13581" max="13581" width="10.7109375" style="1" customWidth="1"/>
    <col min="13582" max="13586" width="10.5703125" style="1" customWidth="1"/>
    <col min="13587" max="13587" width="11.42578125" style="1" customWidth="1"/>
    <col min="13588" max="13830" width="9.140625" style="1"/>
    <col min="13831" max="13831" width="13.85546875" style="1" customWidth="1"/>
    <col min="13832" max="13832" width="10.7109375" style="1" customWidth="1"/>
    <col min="13833" max="13833" width="12" style="1" customWidth="1"/>
    <col min="13834" max="13835" width="10.7109375" style="1" customWidth="1"/>
    <col min="13836" max="13836" width="10.5703125" style="1" customWidth="1"/>
    <col min="13837" max="13837" width="10.7109375" style="1" customWidth="1"/>
    <col min="13838" max="13842" width="10.5703125" style="1" customWidth="1"/>
    <col min="13843" max="13843" width="11.42578125" style="1" customWidth="1"/>
    <col min="13844" max="14086" width="9.140625" style="1"/>
    <col min="14087" max="14087" width="13.85546875" style="1" customWidth="1"/>
    <col min="14088" max="14088" width="10.7109375" style="1" customWidth="1"/>
    <col min="14089" max="14089" width="12" style="1" customWidth="1"/>
    <col min="14090" max="14091" width="10.7109375" style="1" customWidth="1"/>
    <col min="14092" max="14092" width="10.5703125" style="1" customWidth="1"/>
    <col min="14093" max="14093" width="10.7109375" style="1" customWidth="1"/>
    <col min="14094" max="14098" width="10.5703125" style="1" customWidth="1"/>
    <col min="14099" max="14099" width="11.42578125" style="1" customWidth="1"/>
    <col min="14100" max="14342" width="9.140625" style="1"/>
    <col min="14343" max="14343" width="13.85546875" style="1" customWidth="1"/>
    <col min="14344" max="14344" width="10.7109375" style="1" customWidth="1"/>
    <col min="14345" max="14345" width="12" style="1" customWidth="1"/>
    <col min="14346" max="14347" width="10.7109375" style="1" customWidth="1"/>
    <col min="14348" max="14348" width="10.5703125" style="1" customWidth="1"/>
    <col min="14349" max="14349" width="10.7109375" style="1" customWidth="1"/>
    <col min="14350" max="14354" width="10.5703125" style="1" customWidth="1"/>
    <col min="14355" max="14355" width="11.42578125" style="1" customWidth="1"/>
    <col min="14356" max="14598" width="9.140625" style="1"/>
    <col min="14599" max="14599" width="13.85546875" style="1" customWidth="1"/>
    <col min="14600" max="14600" width="10.7109375" style="1" customWidth="1"/>
    <col min="14601" max="14601" width="12" style="1" customWidth="1"/>
    <col min="14602" max="14603" width="10.7109375" style="1" customWidth="1"/>
    <col min="14604" max="14604" width="10.5703125" style="1" customWidth="1"/>
    <col min="14605" max="14605" width="10.7109375" style="1" customWidth="1"/>
    <col min="14606" max="14610" width="10.5703125" style="1" customWidth="1"/>
    <col min="14611" max="14611" width="11.42578125" style="1" customWidth="1"/>
    <col min="14612" max="14854" width="9.140625" style="1"/>
    <col min="14855" max="14855" width="13.85546875" style="1" customWidth="1"/>
    <col min="14856" max="14856" width="10.7109375" style="1" customWidth="1"/>
    <col min="14857" max="14857" width="12" style="1" customWidth="1"/>
    <col min="14858" max="14859" width="10.7109375" style="1" customWidth="1"/>
    <col min="14860" max="14860" width="10.5703125" style="1" customWidth="1"/>
    <col min="14861" max="14861" width="10.7109375" style="1" customWidth="1"/>
    <col min="14862" max="14866" width="10.5703125" style="1" customWidth="1"/>
    <col min="14867" max="14867" width="11.42578125" style="1" customWidth="1"/>
    <col min="14868" max="15110" width="9.140625" style="1"/>
    <col min="15111" max="15111" width="13.85546875" style="1" customWidth="1"/>
    <col min="15112" max="15112" width="10.7109375" style="1" customWidth="1"/>
    <col min="15113" max="15113" width="12" style="1" customWidth="1"/>
    <col min="15114" max="15115" width="10.7109375" style="1" customWidth="1"/>
    <col min="15116" max="15116" width="10.5703125" style="1" customWidth="1"/>
    <col min="15117" max="15117" width="10.7109375" style="1" customWidth="1"/>
    <col min="15118" max="15122" width="10.5703125" style="1" customWidth="1"/>
    <col min="15123" max="15123" width="11.42578125" style="1" customWidth="1"/>
    <col min="15124" max="15366" width="9.140625" style="1"/>
    <col min="15367" max="15367" width="13.85546875" style="1" customWidth="1"/>
    <col min="15368" max="15368" width="10.7109375" style="1" customWidth="1"/>
    <col min="15369" max="15369" width="12" style="1" customWidth="1"/>
    <col min="15370" max="15371" width="10.7109375" style="1" customWidth="1"/>
    <col min="15372" max="15372" width="10.5703125" style="1" customWidth="1"/>
    <col min="15373" max="15373" width="10.7109375" style="1" customWidth="1"/>
    <col min="15374" max="15378" width="10.5703125" style="1" customWidth="1"/>
    <col min="15379" max="15379" width="11.42578125" style="1" customWidth="1"/>
    <col min="15380" max="15622" width="9.140625" style="1"/>
    <col min="15623" max="15623" width="13.85546875" style="1" customWidth="1"/>
    <col min="15624" max="15624" width="10.7109375" style="1" customWidth="1"/>
    <col min="15625" max="15625" width="12" style="1" customWidth="1"/>
    <col min="15626" max="15627" width="10.7109375" style="1" customWidth="1"/>
    <col min="15628" max="15628" width="10.5703125" style="1" customWidth="1"/>
    <col min="15629" max="15629" width="10.7109375" style="1" customWidth="1"/>
    <col min="15630" max="15634" width="10.5703125" style="1" customWidth="1"/>
    <col min="15635" max="15635" width="11.42578125" style="1" customWidth="1"/>
    <col min="15636" max="15878" width="9.140625" style="1"/>
    <col min="15879" max="15879" width="13.85546875" style="1" customWidth="1"/>
    <col min="15880" max="15880" width="10.7109375" style="1" customWidth="1"/>
    <col min="15881" max="15881" width="12" style="1" customWidth="1"/>
    <col min="15882" max="15883" width="10.7109375" style="1" customWidth="1"/>
    <col min="15884" max="15884" width="10.5703125" style="1" customWidth="1"/>
    <col min="15885" max="15885" width="10.7109375" style="1" customWidth="1"/>
    <col min="15886" max="15890" width="10.5703125" style="1" customWidth="1"/>
    <col min="15891" max="15891" width="11.42578125" style="1" customWidth="1"/>
    <col min="15892" max="16134" width="9.140625" style="1"/>
    <col min="16135" max="16135" width="13.85546875" style="1" customWidth="1"/>
    <col min="16136" max="16136" width="10.7109375" style="1" customWidth="1"/>
    <col min="16137" max="16137" width="12" style="1" customWidth="1"/>
    <col min="16138" max="16139" width="10.7109375" style="1" customWidth="1"/>
    <col min="16140" max="16140" width="10.5703125" style="1" customWidth="1"/>
    <col min="16141" max="16141" width="10.7109375" style="1" customWidth="1"/>
    <col min="16142" max="16146" width="10.5703125" style="1" customWidth="1"/>
    <col min="16147" max="16147" width="11.42578125" style="1" customWidth="1"/>
    <col min="16148" max="16384" width="9.140625" style="1"/>
  </cols>
  <sheetData>
    <row r="1" spans="1:21" ht="12" customHeight="1" x14ac:dyDescent="0.2">
      <c r="A1" s="13"/>
      <c r="B1" s="14" t="s">
        <v>78</v>
      </c>
      <c r="C1" s="15" t="s">
        <v>60</v>
      </c>
      <c r="D1" s="15" t="s">
        <v>61</v>
      </c>
      <c r="E1" s="15" t="s">
        <v>62</v>
      </c>
      <c r="F1" s="15" t="s">
        <v>63</v>
      </c>
      <c r="G1" s="15" t="s">
        <v>64</v>
      </c>
      <c r="H1" s="13"/>
      <c r="I1" s="15" t="s">
        <v>65</v>
      </c>
      <c r="J1" s="15" t="s">
        <v>66</v>
      </c>
      <c r="K1" s="15" t="s">
        <v>67</v>
      </c>
      <c r="L1" s="15" t="s">
        <v>68</v>
      </c>
      <c r="M1" s="15" t="s">
        <v>69</v>
      </c>
      <c r="N1" s="15" t="s">
        <v>70</v>
      </c>
      <c r="O1" s="15" t="s">
        <v>72</v>
      </c>
      <c r="P1" s="15" t="s">
        <v>73</v>
      </c>
      <c r="Q1" s="15" t="s">
        <v>74</v>
      </c>
      <c r="R1" s="15" t="s">
        <v>75</v>
      </c>
      <c r="S1" s="15" t="s">
        <v>76</v>
      </c>
      <c r="T1" s="29" t="s">
        <v>77</v>
      </c>
    </row>
    <row r="2" spans="1:21" ht="12" customHeight="1" x14ac:dyDescent="0.2">
      <c r="A2" s="16" t="s">
        <v>0</v>
      </c>
      <c r="B2" s="17">
        <v>50000000</v>
      </c>
      <c r="C2" s="17">
        <v>85000000</v>
      </c>
      <c r="D2" s="18">
        <v>65000000</v>
      </c>
      <c r="E2" s="18">
        <v>70000000</v>
      </c>
      <c r="F2" s="18">
        <v>69120568</v>
      </c>
      <c r="G2" s="18">
        <v>67492201</v>
      </c>
      <c r="H2" s="36" t="s">
        <v>0</v>
      </c>
      <c r="I2" s="18">
        <v>67492201</v>
      </c>
      <c r="J2" s="18">
        <v>73830000</v>
      </c>
      <c r="K2" s="18">
        <v>75000000</v>
      </c>
      <c r="L2" s="18">
        <v>90000000</v>
      </c>
      <c r="M2" s="18">
        <v>61880000</v>
      </c>
      <c r="N2" s="18">
        <v>61421000</v>
      </c>
      <c r="O2" s="18">
        <v>58115000</v>
      </c>
      <c r="P2" s="18">
        <v>58695000</v>
      </c>
      <c r="Q2" s="18">
        <v>58695000</v>
      </c>
      <c r="R2" s="18">
        <v>60571000</v>
      </c>
      <c r="S2" s="18">
        <v>62571000</v>
      </c>
      <c r="T2" s="30">
        <f>SUM(B2:S2)</f>
        <v>1134882970</v>
      </c>
    </row>
    <row r="3" spans="1:21" ht="12" customHeight="1" x14ac:dyDescent="0.2">
      <c r="A3" s="16" t="s">
        <v>1</v>
      </c>
      <c r="B3" s="19">
        <v>0</v>
      </c>
      <c r="C3" s="20">
        <v>5000000</v>
      </c>
      <c r="D3" s="21">
        <v>5000000</v>
      </c>
      <c r="E3" s="21">
        <v>6000000</v>
      </c>
      <c r="F3" s="21">
        <v>6000000</v>
      </c>
      <c r="G3" s="21">
        <v>5911726</v>
      </c>
      <c r="H3" s="36" t="s">
        <v>1</v>
      </c>
      <c r="I3" s="21">
        <v>5911726</v>
      </c>
      <c r="J3" s="21">
        <v>6184000</v>
      </c>
      <c r="K3" s="21">
        <v>7000000</v>
      </c>
      <c r="L3" s="21">
        <v>7000000</v>
      </c>
      <c r="M3" s="21">
        <v>6990000</v>
      </c>
      <c r="N3" s="21">
        <v>4275000</v>
      </c>
      <c r="O3" s="21">
        <v>4044000</v>
      </c>
      <c r="P3" s="21">
        <v>4084000</v>
      </c>
      <c r="Q3" s="21">
        <v>4084000</v>
      </c>
      <c r="R3" s="21">
        <v>4084000</v>
      </c>
      <c r="S3" s="21">
        <v>4209000</v>
      </c>
      <c r="T3" s="30">
        <f>SUM(B3:S3)</f>
        <v>85777452</v>
      </c>
    </row>
    <row r="4" spans="1:21" ht="20.25" customHeight="1" x14ac:dyDescent="0.2">
      <c r="A4" s="16" t="s">
        <v>2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36" t="s">
        <v>2</v>
      </c>
      <c r="I4" s="19">
        <v>0</v>
      </c>
      <c r="J4" s="21">
        <v>4922000</v>
      </c>
      <c r="K4" s="21">
        <v>5000000</v>
      </c>
      <c r="L4" s="21">
        <v>5000000</v>
      </c>
      <c r="M4" s="21">
        <v>4990000</v>
      </c>
      <c r="N4" s="21">
        <v>5740000</v>
      </c>
      <c r="O4" s="21">
        <v>5433000</v>
      </c>
      <c r="P4" s="21">
        <v>5487000</v>
      </c>
      <c r="Q4" s="21">
        <v>5487000</v>
      </c>
      <c r="R4" s="21">
        <v>5487000</v>
      </c>
      <c r="S4" s="21">
        <v>6362000</v>
      </c>
      <c r="T4" s="30">
        <f>SUM(B4:S4)</f>
        <v>53908000</v>
      </c>
    </row>
    <row r="5" spans="1:21" ht="12" customHeight="1" x14ac:dyDescent="0.2">
      <c r="A5" s="16" t="s">
        <v>71</v>
      </c>
      <c r="B5" s="21">
        <f>B2-B3-B4-B6</f>
        <v>1500000</v>
      </c>
      <c r="C5" s="21">
        <f t="shared" ref="C5:M5" si="0">C2-C3-C4-C6</f>
        <v>2400000</v>
      </c>
      <c r="D5" s="21">
        <f t="shared" si="0"/>
        <v>2327324.9999999776</v>
      </c>
      <c r="E5" s="21">
        <f t="shared" si="0"/>
        <v>2798084</v>
      </c>
      <c r="F5" s="21">
        <f t="shared" si="0"/>
        <v>3858729.4626351818</v>
      </c>
      <c r="G5" s="21">
        <f t="shared" si="0"/>
        <v>2024802.0300000012</v>
      </c>
      <c r="H5" s="21"/>
      <c r="I5" s="21">
        <f t="shared" si="0"/>
        <v>2024802.0300000012</v>
      </c>
      <c r="J5" s="21">
        <f t="shared" si="0"/>
        <v>2214900.0000000075</v>
      </c>
      <c r="K5" s="21">
        <f t="shared" si="0"/>
        <v>2955000</v>
      </c>
      <c r="L5" s="21">
        <f t="shared" si="0"/>
        <v>3932735</v>
      </c>
      <c r="M5" s="21">
        <f t="shared" si="0"/>
        <v>3033417</v>
      </c>
      <c r="N5" s="21">
        <f>N2-N3-N4-N6</f>
        <v>3545933</v>
      </c>
      <c r="O5" s="21">
        <f t="shared" ref="O5" si="1">O2-O3-O4-O6</f>
        <v>909767</v>
      </c>
      <c r="P5" s="21">
        <f t="shared" ref="P5" si="2">P2-P3-P4-P6</f>
        <v>1246403</v>
      </c>
      <c r="Q5" s="21">
        <f t="shared" ref="Q5" si="3">Q2-Q3-Q4-Q6</f>
        <v>3140006</v>
      </c>
      <c r="R5" s="21">
        <f>R2-R3-R4-R6</f>
        <v>2782576</v>
      </c>
      <c r="S5" s="21">
        <f t="shared" ref="S5" si="4">S2-S3-S4-S6</f>
        <v>2140591</v>
      </c>
      <c r="T5" s="30">
        <f>SUM(B5:S5)</f>
        <v>42835070.522635169</v>
      </c>
    </row>
    <row r="6" spans="1:21" ht="12" customHeight="1" thickBot="1" x14ac:dyDescent="0.25">
      <c r="A6" s="26" t="s">
        <v>3</v>
      </c>
      <c r="B6" s="33">
        <f>SUM(B7:B62)</f>
        <v>48500000</v>
      </c>
      <c r="C6" s="33">
        <f>SUM(C7:C62)</f>
        <v>77600000</v>
      </c>
      <c r="D6" s="33">
        <f t="shared" ref="D6:S6" si="5">SUM(D7:D62)</f>
        <v>57672675.000000022</v>
      </c>
      <c r="E6" s="33">
        <f t="shared" si="5"/>
        <v>61201916</v>
      </c>
      <c r="F6" s="33">
        <f t="shared" si="5"/>
        <v>59261838.537364818</v>
      </c>
      <c r="G6" s="33">
        <f t="shared" si="5"/>
        <v>59555672.969999999</v>
      </c>
      <c r="H6" s="33">
        <f t="shared" si="5"/>
        <v>0</v>
      </c>
      <c r="I6" s="33">
        <f t="shared" si="5"/>
        <v>59555672.969999999</v>
      </c>
      <c r="J6" s="33">
        <f t="shared" si="5"/>
        <v>60509099.999999993</v>
      </c>
      <c r="K6" s="33">
        <f t="shared" si="5"/>
        <v>60045000</v>
      </c>
      <c r="L6" s="33">
        <f t="shared" si="5"/>
        <v>74067265</v>
      </c>
      <c r="M6" s="33">
        <f t="shared" si="5"/>
        <v>46866583</v>
      </c>
      <c r="N6" s="33">
        <f t="shared" si="5"/>
        <v>47860067</v>
      </c>
      <c r="O6" s="33">
        <f t="shared" si="5"/>
        <v>47728233</v>
      </c>
      <c r="P6" s="33">
        <f t="shared" si="5"/>
        <v>47877597</v>
      </c>
      <c r="Q6" s="33">
        <f t="shared" si="5"/>
        <v>45983994</v>
      </c>
      <c r="R6" s="33">
        <f t="shared" si="5"/>
        <v>48217424</v>
      </c>
      <c r="S6" s="33">
        <f t="shared" si="5"/>
        <v>49859409</v>
      </c>
      <c r="T6" s="30">
        <f>SUM(B6:S6)</f>
        <v>952362447.4773649</v>
      </c>
      <c r="U6" s="7"/>
    </row>
    <row r="7" spans="1:21" ht="12" customHeight="1" thickBot="1" x14ac:dyDescent="0.25">
      <c r="A7" s="22" t="s">
        <v>4</v>
      </c>
      <c r="B7" s="23">
        <v>753573</v>
      </c>
      <c r="C7" s="24">
        <v>1205620.15108717</v>
      </c>
      <c r="D7" s="24">
        <v>896022.41168944922</v>
      </c>
      <c r="E7" s="24">
        <v>950854</v>
      </c>
      <c r="F7" s="24">
        <v>948446.31752327655</v>
      </c>
      <c r="G7" s="25">
        <v>925277.31242512225</v>
      </c>
      <c r="H7" s="37" t="s">
        <v>4</v>
      </c>
      <c r="I7" s="25">
        <v>925277.31242512225</v>
      </c>
      <c r="J7" s="25">
        <v>940090.08098129742</v>
      </c>
      <c r="K7" s="25">
        <v>918424</v>
      </c>
      <c r="L7" s="25">
        <v>1133225</v>
      </c>
      <c r="M7" s="25">
        <v>716903</v>
      </c>
      <c r="N7" s="25">
        <v>735602</v>
      </c>
      <c r="O7" s="25">
        <f>723926+9649</f>
        <v>733575</v>
      </c>
      <c r="P7" s="25">
        <f>720506+15365</f>
        <v>735871</v>
      </c>
      <c r="Q7" s="25">
        <v>706767</v>
      </c>
      <c r="R7" s="35">
        <v>741094</v>
      </c>
      <c r="S7" s="35">
        <v>766332</v>
      </c>
      <c r="T7" s="34">
        <f>SUM(B7:S7)</f>
        <v>14732953.586131439</v>
      </c>
    </row>
    <row r="8" spans="1:21" ht="12" customHeight="1" thickBot="1" x14ac:dyDescent="0.25">
      <c r="A8" s="8" t="s">
        <v>5</v>
      </c>
      <c r="B8" s="9">
        <v>2425000</v>
      </c>
      <c r="C8" s="10">
        <v>3879999.6214641901</v>
      </c>
      <c r="D8" s="10">
        <v>2883633.4686704543</v>
      </c>
      <c r="E8" s="10">
        <v>3060095</v>
      </c>
      <c r="F8" s="10">
        <v>3052347.2502106051</v>
      </c>
      <c r="G8" s="11">
        <v>2977783.357985117</v>
      </c>
      <c r="H8" s="38" t="s">
        <v>5</v>
      </c>
      <c r="I8" s="11">
        <v>2977783.357985117</v>
      </c>
      <c r="J8" s="11">
        <v>3025454.7048342633</v>
      </c>
      <c r="K8" s="11">
        <v>3002250</v>
      </c>
      <c r="L8" s="11">
        <v>3703363</v>
      </c>
      <c r="M8" s="11">
        <v>2342829</v>
      </c>
      <c r="N8" s="11">
        <v>2393003</v>
      </c>
      <c r="O8" s="11">
        <f>2355020+31391</f>
        <v>2386411</v>
      </c>
      <c r="P8" s="11">
        <f>2343894+49985</f>
        <v>2393879</v>
      </c>
      <c r="Q8" s="11">
        <v>2299199</v>
      </c>
      <c r="R8" s="39">
        <v>2410871</v>
      </c>
      <c r="S8" s="35">
        <v>2492970</v>
      </c>
      <c r="T8" s="31">
        <f>SUM(B8:S8)</f>
        <v>47706871.761149749</v>
      </c>
    </row>
    <row r="9" spans="1:21" ht="12" customHeight="1" thickBot="1" x14ac:dyDescent="0.25">
      <c r="A9" s="8" t="s">
        <v>6</v>
      </c>
      <c r="B9" s="9">
        <v>121250</v>
      </c>
      <c r="C9" s="10">
        <v>193999.60253739968</v>
      </c>
      <c r="D9" s="10">
        <v>144181.39210397715</v>
      </c>
      <c r="E9" s="10">
        <v>153004</v>
      </c>
      <c r="F9" s="10">
        <v>152617.06472113571</v>
      </c>
      <c r="G9" s="11">
        <v>148888.87738437316</v>
      </c>
      <c r="H9" s="38" t="s">
        <v>6</v>
      </c>
      <c r="I9" s="11">
        <v>148888.87738437316</v>
      </c>
      <c r="J9" s="11">
        <v>151272.44007597642</v>
      </c>
      <c r="K9" s="11">
        <v>150112</v>
      </c>
      <c r="L9" s="11">
        <v>185168</v>
      </c>
      <c r="M9" s="11">
        <v>117141</v>
      </c>
      <c r="N9" s="11">
        <v>119650</v>
      </c>
      <c r="O9" s="11">
        <f>117751+1569</f>
        <v>119320</v>
      </c>
      <c r="P9" s="11">
        <f>117194+2499</f>
        <v>119693</v>
      </c>
      <c r="Q9" s="11">
        <v>114959</v>
      </c>
      <c r="R9" s="39">
        <v>120543</v>
      </c>
      <c r="S9" s="35">
        <v>124649</v>
      </c>
      <c r="T9" s="31">
        <f t="shared" ref="T9:T62" si="6">SUM(B9:S9)</f>
        <v>2385337.2542072353</v>
      </c>
    </row>
    <row r="10" spans="1:21" ht="12" customHeight="1" thickBot="1" x14ac:dyDescent="0.25">
      <c r="A10" s="8" t="s">
        <v>7</v>
      </c>
      <c r="B10" s="9">
        <v>1148630</v>
      </c>
      <c r="C10" s="10">
        <v>1837856.9695938509</v>
      </c>
      <c r="D10" s="10">
        <v>1365903.7075241115</v>
      </c>
      <c r="E10" s="10">
        <v>1449489</v>
      </c>
      <c r="F10" s="10">
        <v>1445819.1275037376</v>
      </c>
      <c r="G10" s="11">
        <v>1410500.1114274049</v>
      </c>
      <c r="H10" s="38" t="s">
        <v>7</v>
      </c>
      <c r="I10" s="11">
        <v>1410500.1114274049</v>
      </c>
      <c r="J10" s="11">
        <v>1433080.8139027229</v>
      </c>
      <c r="K10" s="11">
        <v>1547253</v>
      </c>
      <c r="L10" s="11">
        <v>1913718</v>
      </c>
      <c r="M10" s="11">
        <v>1210661</v>
      </c>
      <c r="N10" s="11">
        <v>1204752</v>
      </c>
      <c r="O10" s="11">
        <f>1185630+15804</f>
        <v>1201434</v>
      </c>
      <c r="P10" s="11">
        <f>1180029+25165</f>
        <v>1205194</v>
      </c>
      <c r="Q10" s="11">
        <v>1157527</v>
      </c>
      <c r="R10" s="39">
        <v>1213747</v>
      </c>
      <c r="S10" s="35">
        <v>1255080</v>
      </c>
      <c r="T10" s="31">
        <f t="shared" si="6"/>
        <v>23411145.841379233</v>
      </c>
    </row>
    <row r="11" spans="1:21" ht="12" customHeight="1" thickBot="1" x14ac:dyDescent="0.25">
      <c r="A11" s="2" t="s">
        <v>8</v>
      </c>
      <c r="B11" s="3">
        <v>566536</v>
      </c>
      <c r="C11" s="4">
        <v>906478.44201164728</v>
      </c>
      <c r="D11" s="5">
        <v>673698.92500829999</v>
      </c>
      <c r="E11" s="5">
        <v>714925</v>
      </c>
      <c r="F11" s="5">
        <v>713115.27056420408</v>
      </c>
      <c r="G11" s="6">
        <v>695695.0212216595</v>
      </c>
      <c r="H11" s="40" t="s">
        <v>8</v>
      </c>
      <c r="I11" s="6">
        <v>695695.0212216595</v>
      </c>
      <c r="J11" s="6">
        <v>706832.40587019292</v>
      </c>
      <c r="K11" s="6">
        <v>699404</v>
      </c>
      <c r="L11" s="6">
        <v>863766</v>
      </c>
      <c r="M11" s="6">
        <v>546437</v>
      </c>
      <c r="N11" s="6">
        <v>555393</v>
      </c>
      <c r="O11" s="6">
        <f>546577+7286</f>
        <v>553863</v>
      </c>
      <c r="P11" s="6">
        <f>543995+11601</f>
        <v>555596</v>
      </c>
      <c r="Q11" s="6">
        <v>533622</v>
      </c>
      <c r="R11" s="41">
        <v>559539</v>
      </c>
      <c r="S11" s="42">
        <v>578594</v>
      </c>
      <c r="T11" s="31">
        <f t="shared" si="6"/>
        <v>11119190.085897662</v>
      </c>
    </row>
    <row r="12" spans="1:21" ht="12" customHeight="1" thickBot="1" x14ac:dyDescent="0.25">
      <c r="A12" s="2" t="s">
        <v>9</v>
      </c>
      <c r="B12" s="3">
        <v>2425000</v>
      </c>
      <c r="C12" s="4">
        <v>3879999.6214641901</v>
      </c>
      <c r="D12" s="5">
        <v>2883633.4686704543</v>
      </c>
      <c r="E12" s="5">
        <v>3060095</v>
      </c>
      <c r="F12" s="5">
        <f>F13</f>
        <v>1267234.8275754154</v>
      </c>
      <c r="G12" s="6">
        <v>2977783.357985117</v>
      </c>
      <c r="H12" s="40" t="s">
        <v>9</v>
      </c>
      <c r="I12" s="6">
        <v>2977783.357985117</v>
      </c>
      <c r="J12" s="6">
        <v>3025454.7048342633</v>
      </c>
      <c r="K12" s="6">
        <v>3002250</v>
      </c>
      <c r="L12" s="6">
        <v>3703363</v>
      </c>
      <c r="M12" s="6">
        <v>2342829</v>
      </c>
      <c r="N12" s="6">
        <v>2393003</v>
      </c>
      <c r="O12" s="6">
        <f>2355020+31391</f>
        <v>2386411</v>
      </c>
      <c r="P12" s="6">
        <f>2343894+49985</f>
        <v>2393879</v>
      </c>
      <c r="Q12" s="6">
        <v>2299199</v>
      </c>
      <c r="R12" s="41">
        <v>2410871</v>
      </c>
      <c r="S12" s="42">
        <v>2492970</v>
      </c>
      <c r="T12" s="31">
        <f t="shared" si="6"/>
        <v>45921759.338514559</v>
      </c>
    </row>
    <row r="13" spans="1:21" ht="12" customHeight="1" thickBot="1" x14ac:dyDescent="0.25">
      <c r="A13" s="2" t="s">
        <v>10</v>
      </c>
      <c r="B13" s="3">
        <v>1006751</v>
      </c>
      <c r="C13" s="4">
        <v>1610849.0444393561</v>
      </c>
      <c r="D13" s="5">
        <v>1197190.3790465405</v>
      </c>
      <c r="E13" s="5">
        <v>1270452</v>
      </c>
      <c r="F13" s="5">
        <v>1267234.8275754154</v>
      </c>
      <c r="G13" s="6">
        <v>1236278.3362714855</v>
      </c>
      <c r="H13" s="40" t="s">
        <v>10</v>
      </c>
      <c r="I13" s="6">
        <v>1236278.3362714855</v>
      </c>
      <c r="J13" s="6">
        <v>1256069.9215835752</v>
      </c>
      <c r="K13" s="6">
        <v>1286886</v>
      </c>
      <c r="L13" s="6">
        <v>1593268</v>
      </c>
      <c r="M13" s="6">
        <v>1007936</v>
      </c>
      <c r="N13" s="6">
        <v>1018891</v>
      </c>
      <c r="O13" s="6">
        <f>1002718+13366</f>
        <v>1016084</v>
      </c>
      <c r="P13" s="6">
        <f>997981+21283</f>
        <v>1019264</v>
      </c>
      <c r="Q13" s="6">
        <v>978951</v>
      </c>
      <c r="R13" s="41">
        <v>1026498</v>
      </c>
      <c r="S13" s="42">
        <v>1061455</v>
      </c>
      <c r="T13" s="31">
        <f t="shared" si="6"/>
        <v>20090336.845187858</v>
      </c>
    </row>
    <row r="14" spans="1:21" ht="12" customHeight="1" thickBot="1" x14ac:dyDescent="0.25">
      <c r="A14" s="2" t="s">
        <v>11</v>
      </c>
      <c r="B14" s="3">
        <v>485000</v>
      </c>
      <c r="C14" s="4">
        <v>775999.67193563154</v>
      </c>
      <c r="D14" s="5">
        <v>576726.50618106057</v>
      </c>
      <c r="E14" s="5">
        <v>612020</v>
      </c>
      <c r="F14" s="5">
        <v>610469.25151585811</v>
      </c>
      <c r="G14" s="6">
        <v>595556.47792043502</v>
      </c>
      <c r="H14" s="40" t="s">
        <v>11</v>
      </c>
      <c r="I14" s="6">
        <v>595556.47792043502</v>
      </c>
      <c r="J14" s="6">
        <v>605090.74418969487</v>
      </c>
      <c r="K14" s="6">
        <v>600450</v>
      </c>
      <c r="L14" s="6">
        <v>740673</v>
      </c>
      <c r="M14" s="6">
        <v>468566</v>
      </c>
      <c r="N14" s="6">
        <v>478601</v>
      </c>
      <c r="O14" s="6">
        <f>471005+6279</f>
        <v>477284</v>
      </c>
      <c r="P14" s="6">
        <f>468779+9998</f>
        <v>478777</v>
      </c>
      <c r="Q14" s="6">
        <v>459840</v>
      </c>
      <c r="R14" s="41">
        <v>482174</v>
      </c>
      <c r="S14" s="42">
        <v>498594</v>
      </c>
      <c r="T14" s="31">
        <f t="shared" si="6"/>
        <v>9541378.1296631135</v>
      </c>
    </row>
    <row r="15" spans="1:21" ht="12" customHeight="1" thickBot="1" x14ac:dyDescent="0.25">
      <c r="A15" s="8" t="s">
        <v>12</v>
      </c>
      <c r="B15" s="9">
        <v>485000</v>
      </c>
      <c r="C15" s="10">
        <v>775999.67193563154</v>
      </c>
      <c r="D15" s="10">
        <v>576726.50618106057</v>
      </c>
      <c r="E15" s="10">
        <v>612020</v>
      </c>
      <c r="F15" s="10">
        <v>610469.25151585811</v>
      </c>
      <c r="G15" s="11">
        <v>595556.47792043502</v>
      </c>
      <c r="H15" s="38" t="s">
        <v>12</v>
      </c>
      <c r="I15" s="11">
        <v>595556.47792043502</v>
      </c>
      <c r="J15" s="11">
        <v>605090.74418969487</v>
      </c>
      <c r="K15" s="11">
        <v>600450</v>
      </c>
      <c r="L15" s="11">
        <v>740673</v>
      </c>
      <c r="M15" s="11">
        <v>468566</v>
      </c>
      <c r="N15" s="11">
        <v>478601</v>
      </c>
      <c r="O15" s="11">
        <f>471005+6279</f>
        <v>477284</v>
      </c>
      <c r="P15" s="11">
        <f>468779+9998</f>
        <v>478777</v>
      </c>
      <c r="Q15" s="11">
        <v>459840</v>
      </c>
      <c r="R15" s="39">
        <v>482174</v>
      </c>
      <c r="S15" s="35">
        <v>498594</v>
      </c>
      <c r="T15" s="31">
        <f t="shared" si="6"/>
        <v>9541378.1296631135</v>
      </c>
    </row>
    <row r="16" spans="1:21" ht="12" customHeight="1" thickBot="1" x14ac:dyDescent="0.25">
      <c r="A16" s="8" t="s">
        <v>13</v>
      </c>
      <c r="B16" s="9">
        <v>242500</v>
      </c>
      <c r="C16" s="10">
        <v>388000.46686083212</v>
      </c>
      <c r="D16" s="10">
        <v>288363.72197310621</v>
      </c>
      <c r="E16" s="10">
        <v>306009</v>
      </c>
      <c r="F16" s="10">
        <v>305235.12207358668</v>
      </c>
      <c r="G16" s="11">
        <v>297778.7231516887</v>
      </c>
      <c r="H16" s="38" t="s">
        <v>13</v>
      </c>
      <c r="I16" s="11">
        <v>297778.7231516887</v>
      </c>
      <c r="J16" s="11">
        <v>302545.86403774197</v>
      </c>
      <c r="K16" s="11">
        <v>300225</v>
      </c>
      <c r="L16" s="11">
        <v>370336</v>
      </c>
      <c r="M16" s="11">
        <v>234282</v>
      </c>
      <c r="N16" s="11">
        <v>239300</v>
      </c>
      <c r="O16" s="11">
        <f>235502+3139</f>
        <v>238641</v>
      </c>
      <c r="P16" s="11">
        <f>234389+4998</f>
        <v>239387</v>
      </c>
      <c r="Q16" s="11">
        <v>229919</v>
      </c>
      <c r="R16" s="39">
        <v>241087</v>
      </c>
      <c r="S16" s="35">
        <v>249297</v>
      </c>
      <c r="T16" s="31">
        <f t="shared" si="6"/>
        <v>4770685.6212486438</v>
      </c>
    </row>
    <row r="17" spans="1:20" ht="12" customHeight="1" thickBot="1" x14ac:dyDescent="0.25">
      <c r="A17" s="8" t="s">
        <v>14</v>
      </c>
      <c r="B17" s="9">
        <v>2054361</v>
      </c>
      <c r="C17" s="10">
        <v>3286863.0285407868</v>
      </c>
      <c r="D17" s="10">
        <v>2442811.6393627389</v>
      </c>
      <c r="E17" s="10">
        <v>2592298</v>
      </c>
      <c r="F17" s="10">
        <v>2585734.0994274034</v>
      </c>
      <c r="G17" s="11">
        <v>2522568.8095999854</v>
      </c>
      <c r="H17" s="38" t="s">
        <v>14</v>
      </c>
      <c r="I17" s="11">
        <v>2522568.8095999854</v>
      </c>
      <c r="J17" s="11">
        <v>2562952.6247458421</v>
      </c>
      <c r="K17" s="11">
        <v>2690370</v>
      </c>
      <c r="L17" s="11">
        <v>3323873</v>
      </c>
      <c r="M17" s="11">
        <v>2102756</v>
      </c>
      <c r="N17" s="11">
        <v>2181968</v>
      </c>
      <c r="O17" s="11">
        <f>2147334+28622</f>
        <v>2175956</v>
      </c>
      <c r="P17" s="11">
        <f>2137190+45577</f>
        <v>2182767</v>
      </c>
      <c r="Q17" s="11">
        <v>2096437</v>
      </c>
      <c r="R17" s="39">
        <v>2198260</v>
      </c>
      <c r="S17" s="35">
        <v>2273119</v>
      </c>
      <c r="T17" s="31">
        <f t="shared" si="6"/>
        <v>41795664.011276737</v>
      </c>
    </row>
    <row r="18" spans="1:20" ht="12" customHeight="1" thickBot="1" x14ac:dyDescent="0.25">
      <c r="A18" s="8" t="s">
        <v>15</v>
      </c>
      <c r="B18" s="9">
        <v>1200808</v>
      </c>
      <c r="C18" s="10">
        <v>1921286.2620801784</v>
      </c>
      <c r="D18" s="10">
        <v>1427908.7393674606</v>
      </c>
      <c r="E18" s="10">
        <v>1515288</v>
      </c>
      <c r="F18" s="10">
        <v>1511451.9100686901</v>
      </c>
      <c r="G18" s="11">
        <v>1474529.5915747527</v>
      </c>
      <c r="H18" s="38" t="s">
        <v>15</v>
      </c>
      <c r="I18" s="11">
        <v>1474529.5915747527</v>
      </c>
      <c r="J18" s="11">
        <v>1498135.3422788109</v>
      </c>
      <c r="K18" s="11">
        <v>1599614</v>
      </c>
      <c r="L18" s="11">
        <v>1980981</v>
      </c>
      <c r="M18" s="11">
        <v>1253212</v>
      </c>
      <c r="N18" s="11">
        <v>1264899</v>
      </c>
      <c r="O18" s="11">
        <f>1244821+16593</f>
        <v>1261414</v>
      </c>
      <c r="P18" s="11">
        <f>1238941+26421</f>
        <v>1265362</v>
      </c>
      <c r="Q18" s="11">
        <v>1215316</v>
      </c>
      <c r="R18" s="39">
        <v>1274343</v>
      </c>
      <c r="S18" s="35">
        <v>1317740</v>
      </c>
      <c r="T18" s="31">
        <f t="shared" si="6"/>
        <v>24456818.436944645</v>
      </c>
    </row>
    <row r="19" spans="1:20" ht="12" customHeight="1" thickBot="1" x14ac:dyDescent="0.25">
      <c r="A19" s="2" t="s">
        <v>16</v>
      </c>
      <c r="B19" s="3">
        <v>121250</v>
      </c>
      <c r="C19" s="4">
        <v>193999.60253739968</v>
      </c>
      <c r="D19" s="5">
        <v>144181.39210397715</v>
      </c>
      <c r="E19" s="4">
        <v>153004</v>
      </c>
      <c r="F19" s="4">
        <v>152617.06472113571</v>
      </c>
      <c r="G19" s="6">
        <v>148888.87738437316</v>
      </c>
      <c r="H19" s="40" t="s">
        <v>16</v>
      </c>
      <c r="I19" s="6">
        <v>148888.87738437316</v>
      </c>
      <c r="J19" s="6">
        <v>151272.44007597642</v>
      </c>
      <c r="K19" s="6">
        <v>150112</v>
      </c>
      <c r="L19" s="6">
        <v>185168</v>
      </c>
      <c r="M19" s="6">
        <v>117141</v>
      </c>
      <c r="N19" s="6">
        <v>119650</v>
      </c>
      <c r="O19" s="6">
        <f>117751+1569</f>
        <v>119320</v>
      </c>
      <c r="P19" s="6">
        <f>117194+2499</f>
        <v>119693</v>
      </c>
      <c r="Q19" s="6">
        <v>114959</v>
      </c>
      <c r="R19" s="41">
        <v>120543</v>
      </c>
      <c r="S19" s="42">
        <v>124649</v>
      </c>
      <c r="T19" s="31">
        <f t="shared" si="6"/>
        <v>2385337.2542072353</v>
      </c>
    </row>
    <row r="20" spans="1:20" ht="13.5" customHeight="1" thickBot="1" x14ac:dyDescent="0.25">
      <c r="A20" s="2" t="s">
        <v>17</v>
      </c>
      <c r="B20" s="3">
        <v>485000</v>
      </c>
      <c r="C20" s="4">
        <v>775999.67193563154</v>
      </c>
      <c r="D20" s="5">
        <v>576726.50618106057</v>
      </c>
      <c r="E20" s="4">
        <v>612020</v>
      </c>
      <c r="F20" s="4">
        <v>610469.25151585811</v>
      </c>
      <c r="G20" s="6">
        <v>595556.47792043502</v>
      </c>
      <c r="H20" s="40" t="s">
        <v>17</v>
      </c>
      <c r="I20" s="6">
        <v>595556.47792043502</v>
      </c>
      <c r="J20" s="6">
        <v>605090.74418969487</v>
      </c>
      <c r="K20" s="6">
        <v>600450</v>
      </c>
      <c r="L20" s="6">
        <v>740673</v>
      </c>
      <c r="M20" s="6">
        <v>468566</v>
      </c>
      <c r="N20" s="6">
        <v>478601</v>
      </c>
      <c r="O20" s="6">
        <f>471005+6279</f>
        <v>477284</v>
      </c>
      <c r="P20" s="6">
        <f>468779+9998</f>
        <v>478777</v>
      </c>
      <c r="Q20" s="6">
        <v>459840</v>
      </c>
      <c r="R20" s="41">
        <v>482174</v>
      </c>
      <c r="S20" s="42">
        <v>498594</v>
      </c>
      <c r="T20" s="31">
        <f t="shared" si="6"/>
        <v>9541378.1296631135</v>
      </c>
    </row>
    <row r="21" spans="1:20" ht="12" customHeight="1" thickBot="1" x14ac:dyDescent="0.25">
      <c r="A21" s="2" t="s">
        <v>18</v>
      </c>
      <c r="B21" s="3">
        <v>571398</v>
      </c>
      <c r="C21" s="4">
        <v>914287.63576842111</v>
      </c>
      <c r="D21" s="5">
        <v>679502.75353338302</v>
      </c>
      <c r="E21" s="4">
        <v>721085</v>
      </c>
      <c r="F21" s="4">
        <v>719258.66577434458</v>
      </c>
      <c r="G21" s="6">
        <v>701688.3432517855</v>
      </c>
      <c r="H21" s="40" t="s">
        <v>18</v>
      </c>
      <c r="I21" s="6">
        <v>701688.3432517855</v>
      </c>
      <c r="J21" s="6">
        <v>712921.67501900729</v>
      </c>
      <c r="K21" s="6">
        <v>724408</v>
      </c>
      <c r="L21" s="6">
        <v>894717</v>
      </c>
      <c r="M21" s="6">
        <v>566018</v>
      </c>
      <c r="N21" s="6">
        <v>569515</v>
      </c>
      <c r="O21" s="6">
        <f>560476+7471</f>
        <v>567947</v>
      </c>
      <c r="P21" s="6">
        <f>557828+11896</f>
        <v>569724</v>
      </c>
      <c r="Q21" s="6">
        <v>547191</v>
      </c>
      <c r="R21" s="41">
        <v>573767</v>
      </c>
      <c r="S21" s="42">
        <v>593307</v>
      </c>
      <c r="T21" s="31">
        <f t="shared" si="6"/>
        <v>11328424.416598726</v>
      </c>
    </row>
    <row r="22" spans="1:20" ht="12" customHeight="1" thickBot="1" x14ac:dyDescent="0.25">
      <c r="A22" s="2" t="s">
        <v>19</v>
      </c>
      <c r="B22" s="3">
        <v>1651820</v>
      </c>
      <c r="C22" s="4">
        <v>2642937.0242265845</v>
      </c>
      <c r="D22" s="5">
        <v>1964242.887160914</v>
      </c>
      <c r="E22" s="5">
        <v>2084443</v>
      </c>
      <c r="F22" s="5">
        <v>2079165.5529423794</v>
      </c>
      <c r="G22" s="6">
        <v>2028374.9110198896</v>
      </c>
      <c r="H22" s="40" t="s">
        <v>19</v>
      </c>
      <c r="I22" s="6">
        <v>2028374.9110198896</v>
      </c>
      <c r="J22" s="6">
        <v>2060847.1738740827</v>
      </c>
      <c r="K22" s="6">
        <v>1989809</v>
      </c>
      <c r="L22" s="6">
        <v>2436734</v>
      </c>
      <c r="M22" s="6">
        <v>1541532</v>
      </c>
      <c r="N22" s="6">
        <v>1568420</v>
      </c>
      <c r="O22" s="6">
        <f>1543525+20573</f>
        <v>1564098</v>
      </c>
      <c r="P22" s="6">
        <f>1536233+32761</f>
        <v>1568994</v>
      </c>
      <c r="Q22" s="6">
        <v>1506940</v>
      </c>
      <c r="R22" s="41">
        <v>1580131</v>
      </c>
      <c r="S22" s="42">
        <v>1633941</v>
      </c>
      <c r="T22" s="31">
        <f t="shared" si="6"/>
        <v>31930804.460243739</v>
      </c>
    </row>
    <row r="23" spans="1:20" ht="12" customHeight="1" thickBot="1" x14ac:dyDescent="0.25">
      <c r="A23" s="8" t="s">
        <v>20</v>
      </c>
      <c r="B23" s="9">
        <v>852921</v>
      </c>
      <c r="C23" s="10">
        <v>1364693.5162376743</v>
      </c>
      <c r="D23" s="10">
        <v>1014246.4643889511</v>
      </c>
      <c r="E23" s="10">
        <v>1076313</v>
      </c>
      <c r="F23" s="10">
        <v>1073587.3474380318</v>
      </c>
      <c r="G23" s="11">
        <v>1047361.3499655967</v>
      </c>
      <c r="H23" s="38" t="s">
        <v>20</v>
      </c>
      <c r="I23" s="11">
        <v>1047361.3499655967</v>
      </c>
      <c r="J23" s="11">
        <v>1064128.5624146527</v>
      </c>
      <c r="K23" s="11">
        <v>1036533</v>
      </c>
      <c r="L23" s="11">
        <v>1276300</v>
      </c>
      <c r="M23" s="11">
        <v>807415</v>
      </c>
      <c r="N23" s="11">
        <v>830557</v>
      </c>
      <c r="O23" s="11">
        <f>817374+10895</f>
        <v>828269</v>
      </c>
      <c r="P23" s="11">
        <f>813513+17349</f>
        <v>830862</v>
      </c>
      <c r="Q23" s="11">
        <v>798001</v>
      </c>
      <c r="R23" s="39">
        <v>836759</v>
      </c>
      <c r="S23" s="35">
        <v>865254</v>
      </c>
      <c r="T23" s="31">
        <f t="shared" si="6"/>
        <v>16650562.590410504</v>
      </c>
    </row>
    <row r="24" spans="1:20" ht="12" customHeight="1" thickBot="1" x14ac:dyDescent="0.25">
      <c r="A24" s="8" t="s">
        <v>21</v>
      </c>
      <c r="B24" s="9">
        <v>610179</v>
      </c>
      <c r="C24" s="10">
        <v>976301.89570668514</v>
      </c>
      <c r="D24" s="10">
        <v>725592.03521875711</v>
      </c>
      <c r="E24" s="10">
        <v>769994</v>
      </c>
      <c r="F24" s="10">
        <v>768044.50965671451</v>
      </c>
      <c r="G24" s="11">
        <v>749282.42810178339</v>
      </c>
      <c r="H24" s="38" t="s">
        <v>21</v>
      </c>
      <c r="I24" s="11">
        <v>749282.42810178339</v>
      </c>
      <c r="J24" s="11">
        <v>761277.6937822859</v>
      </c>
      <c r="K24" s="11">
        <v>737692</v>
      </c>
      <c r="L24" s="11">
        <v>906334</v>
      </c>
      <c r="M24" s="11">
        <v>573367</v>
      </c>
      <c r="N24" s="11">
        <v>583761</v>
      </c>
      <c r="O24" s="11">
        <f>574495+7658</f>
        <v>582153</v>
      </c>
      <c r="P24" s="11">
        <f>571781+12194</f>
        <v>583975</v>
      </c>
      <c r="Q24" s="11">
        <v>560878</v>
      </c>
      <c r="R24" s="39">
        <v>588119</v>
      </c>
      <c r="S24" s="35">
        <v>608148</v>
      </c>
      <c r="T24" s="31">
        <f t="shared" si="6"/>
        <v>11834380.99056801</v>
      </c>
    </row>
    <row r="25" spans="1:20" ht="12" customHeight="1" thickBot="1" x14ac:dyDescent="0.25">
      <c r="A25" s="8" t="s">
        <v>22</v>
      </c>
      <c r="B25" s="9">
        <v>717720</v>
      </c>
      <c r="C25" s="10">
        <v>1148393.1073572109</v>
      </c>
      <c r="D25" s="10">
        <v>853491.01099036774</v>
      </c>
      <c r="E25" s="10">
        <v>905720</v>
      </c>
      <c r="F25" s="10">
        <v>903426.51685100095</v>
      </c>
      <c r="G25" s="11">
        <v>881357.2724583525</v>
      </c>
      <c r="H25" s="38" t="s">
        <v>22</v>
      </c>
      <c r="I25" s="11">
        <v>881357.2724583525</v>
      </c>
      <c r="J25" s="11">
        <v>895466.92490190989</v>
      </c>
      <c r="K25" s="11">
        <v>877818</v>
      </c>
      <c r="L25" s="11">
        <v>1081228</v>
      </c>
      <c r="M25" s="11">
        <v>684009</v>
      </c>
      <c r="N25" s="11">
        <v>692473</v>
      </c>
      <c r="O25" s="11">
        <f>681482+9084</f>
        <v>690566</v>
      </c>
      <c r="P25" s="11">
        <f>678262+14464</f>
        <v>692726</v>
      </c>
      <c r="Q25" s="11">
        <v>665329</v>
      </c>
      <c r="R25" s="39">
        <v>697643</v>
      </c>
      <c r="S25" s="35">
        <v>721401</v>
      </c>
      <c r="T25" s="31">
        <f t="shared" si="6"/>
        <v>13990125.105017195</v>
      </c>
    </row>
    <row r="26" spans="1:20" ht="12" customHeight="1" thickBot="1" x14ac:dyDescent="0.25">
      <c r="A26" s="8" t="s">
        <v>23</v>
      </c>
      <c r="B26" s="9">
        <v>651008</v>
      </c>
      <c r="C26" s="10">
        <v>1041637.1764831831</v>
      </c>
      <c r="D26" s="10">
        <v>774149.51478392095</v>
      </c>
      <c r="E26" s="10">
        <v>821523</v>
      </c>
      <c r="F26" s="10">
        <v>819442.95916084724</v>
      </c>
      <c r="G26" s="11">
        <v>799425.29685601324</v>
      </c>
      <c r="H26" s="38" t="s">
        <v>23</v>
      </c>
      <c r="I26" s="11">
        <v>799425.29685601324</v>
      </c>
      <c r="J26" s="11">
        <v>812223.29994250741</v>
      </c>
      <c r="K26" s="11">
        <v>796933</v>
      </c>
      <c r="L26" s="11">
        <v>983646</v>
      </c>
      <c r="M26" s="11">
        <v>632276</v>
      </c>
      <c r="N26" s="11">
        <v>635666</v>
      </c>
      <c r="O26" s="11">
        <f>625576+8339</f>
        <v>633915</v>
      </c>
      <c r="P26" s="11">
        <f>622621+13278</f>
        <v>635899</v>
      </c>
      <c r="Q26" s="11">
        <v>610749</v>
      </c>
      <c r="R26" s="39">
        <v>640412</v>
      </c>
      <c r="S26" s="35">
        <v>662221</v>
      </c>
      <c r="T26" s="31">
        <f t="shared" si="6"/>
        <v>12750551.544082485</v>
      </c>
    </row>
    <row r="27" spans="1:20" ht="12" customHeight="1" thickBot="1" x14ac:dyDescent="0.25">
      <c r="A27" s="2" t="s">
        <v>24</v>
      </c>
      <c r="B27" s="3">
        <v>735422</v>
      </c>
      <c r="C27" s="4">
        <v>1176698.7534301961</v>
      </c>
      <c r="D27" s="5">
        <v>874527.89664284594</v>
      </c>
      <c r="E27" s="5">
        <v>928044</v>
      </c>
      <c r="F27" s="5">
        <v>925694.21514621552</v>
      </c>
      <c r="G27" s="6">
        <v>903081.00700380711</v>
      </c>
      <c r="H27" s="40" t="s">
        <v>24</v>
      </c>
      <c r="I27" s="6">
        <v>903081.00700380711</v>
      </c>
      <c r="J27" s="6">
        <v>917538.43480906042</v>
      </c>
      <c r="K27" s="6">
        <v>861324</v>
      </c>
      <c r="L27" s="6">
        <v>1068489</v>
      </c>
      <c r="M27" s="6">
        <v>675950</v>
      </c>
      <c r="N27" s="6">
        <v>690767</v>
      </c>
      <c r="O27" s="6">
        <f>679803+9061</f>
        <v>688864</v>
      </c>
      <c r="P27" s="6">
        <f>676591+14429</f>
        <v>691020</v>
      </c>
      <c r="Q27" s="6">
        <v>663690</v>
      </c>
      <c r="R27" s="41">
        <v>695924</v>
      </c>
      <c r="S27" s="42">
        <v>719624</v>
      </c>
      <c r="T27" s="31">
        <f t="shared" si="6"/>
        <v>14119739.314035933</v>
      </c>
    </row>
    <row r="28" spans="1:20" ht="12" customHeight="1" thickBot="1" x14ac:dyDescent="0.25">
      <c r="A28" s="2" t="s">
        <v>25</v>
      </c>
      <c r="B28" s="3">
        <v>485000</v>
      </c>
      <c r="C28" s="4">
        <v>775999.67193563154</v>
      </c>
      <c r="D28" s="5">
        <v>576726.50618106057</v>
      </c>
      <c r="E28" s="5">
        <v>612020</v>
      </c>
      <c r="F28" s="5">
        <v>610469.25151585811</v>
      </c>
      <c r="G28" s="6">
        <v>595556.47792043502</v>
      </c>
      <c r="H28" s="40" t="s">
        <v>25</v>
      </c>
      <c r="I28" s="6">
        <v>595556.47792043502</v>
      </c>
      <c r="J28" s="6">
        <v>605090.74418969487</v>
      </c>
      <c r="K28" s="6">
        <v>600450</v>
      </c>
      <c r="L28" s="6">
        <v>740673</v>
      </c>
      <c r="M28" s="6">
        <v>468566</v>
      </c>
      <c r="N28" s="6">
        <v>478601</v>
      </c>
      <c r="O28" s="6">
        <f>471005+6279</f>
        <v>477284</v>
      </c>
      <c r="P28" s="6">
        <f>468779+9998</f>
        <v>478777</v>
      </c>
      <c r="Q28" s="6">
        <v>459840</v>
      </c>
      <c r="R28" s="41">
        <v>482174</v>
      </c>
      <c r="S28" s="42">
        <v>498594</v>
      </c>
      <c r="T28" s="31">
        <f t="shared" si="6"/>
        <v>9541378.1296631135</v>
      </c>
    </row>
    <row r="29" spans="1:20" ht="12" customHeight="1" thickBot="1" x14ac:dyDescent="0.25">
      <c r="A29" s="2" t="s">
        <v>26</v>
      </c>
      <c r="B29" s="3">
        <v>634704</v>
      </c>
      <c r="C29" s="4">
        <v>1015529.561679272</v>
      </c>
      <c r="D29" s="5">
        <v>754746.21602604515</v>
      </c>
      <c r="E29" s="5">
        <v>800932</v>
      </c>
      <c r="F29" s="5">
        <v>798904.42461681459</v>
      </c>
      <c r="G29" s="6">
        <v>779388.48539611034</v>
      </c>
      <c r="H29" s="40" t="s">
        <v>26</v>
      </c>
      <c r="I29" s="6">
        <v>779388.48539611034</v>
      </c>
      <c r="J29" s="6">
        <v>791865.71907999017</v>
      </c>
      <c r="K29" s="6">
        <v>778854</v>
      </c>
      <c r="L29" s="6">
        <v>962569</v>
      </c>
      <c r="M29" s="6">
        <v>608942</v>
      </c>
      <c r="N29" s="6">
        <v>632249</v>
      </c>
      <c r="O29" s="6">
        <f>622214+8294</f>
        <v>630508</v>
      </c>
      <c r="P29" s="6">
        <f>619274+13206</f>
        <v>632480</v>
      </c>
      <c r="Q29" s="6">
        <v>607466</v>
      </c>
      <c r="R29" s="41">
        <v>636970</v>
      </c>
      <c r="S29" s="42">
        <v>658661</v>
      </c>
      <c r="T29" s="31">
        <f t="shared" si="6"/>
        <v>12504157.892194342</v>
      </c>
    </row>
    <row r="30" spans="1:20" ht="12" customHeight="1" thickBot="1" x14ac:dyDescent="0.25">
      <c r="A30" s="2" t="s">
        <v>27</v>
      </c>
      <c r="B30" s="3">
        <v>738898</v>
      </c>
      <c r="C30" s="4">
        <v>1182253.1355464214</v>
      </c>
      <c r="D30" s="5">
        <v>878655.93884149112</v>
      </c>
      <c r="E30" s="5">
        <v>932424</v>
      </c>
      <c r="F30" s="5">
        <v>930063.77819598746</v>
      </c>
      <c r="G30" s="6">
        <v>907343.82871597621</v>
      </c>
      <c r="H30" s="40" t="s">
        <v>27</v>
      </c>
      <c r="I30" s="6">
        <v>907343.82871597621</v>
      </c>
      <c r="J30" s="6">
        <v>921869.5000527316</v>
      </c>
      <c r="K30" s="6">
        <v>874209</v>
      </c>
      <c r="L30" s="6">
        <v>1083505</v>
      </c>
      <c r="M30" s="6">
        <v>685449</v>
      </c>
      <c r="N30" s="6">
        <v>699380</v>
      </c>
      <c r="O30" s="6">
        <f>688279+9174</f>
        <v>697453</v>
      </c>
      <c r="P30" s="6">
        <f>685028+14609</f>
        <v>699637</v>
      </c>
      <c r="Q30" s="6">
        <v>671965</v>
      </c>
      <c r="R30" s="41">
        <v>704602</v>
      </c>
      <c r="S30" s="42">
        <v>728597</v>
      </c>
      <c r="T30" s="31">
        <f t="shared" si="6"/>
        <v>14243649.010068584</v>
      </c>
    </row>
    <row r="31" spans="1:20" ht="12" customHeight="1" thickBot="1" x14ac:dyDescent="0.25">
      <c r="A31" s="8" t="s">
        <v>28</v>
      </c>
      <c r="B31" s="9">
        <v>1390843</v>
      </c>
      <c r="C31" s="10">
        <v>2224603.221138116</v>
      </c>
      <c r="D31" s="10">
        <v>1653335.2909362332</v>
      </c>
      <c r="E31" s="10">
        <v>1754509</v>
      </c>
      <c r="F31" s="10">
        <v>1750067.5740499564</v>
      </c>
      <c r="G31" s="11">
        <v>1707316.2619344101</v>
      </c>
      <c r="H31" s="38" t="s">
        <v>28</v>
      </c>
      <c r="I31" s="11">
        <v>1707316.2619344101</v>
      </c>
      <c r="J31" s="11">
        <v>1734648.69546609</v>
      </c>
      <c r="K31" s="11">
        <v>1636557</v>
      </c>
      <c r="L31" s="11">
        <v>1998710</v>
      </c>
      <c r="M31" s="11">
        <v>1264428</v>
      </c>
      <c r="N31" s="11">
        <v>1283486</v>
      </c>
      <c r="O31" s="11">
        <f>1263113+16837</f>
        <v>1279950</v>
      </c>
      <c r="P31" s="11">
        <f>1257146+26809</f>
        <v>1283955</v>
      </c>
      <c r="Q31" s="11">
        <v>1233175</v>
      </c>
      <c r="R31" s="39">
        <v>1293069</v>
      </c>
      <c r="S31" s="35">
        <v>1337103</v>
      </c>
      <c r="T31" s="31">
        <f t="shared" si="6"/>
        <v>26533072.305459216</v>
      </c>
    </row>
    <row r="32" spans="1:20" ht="12" customHeight="1" thickBot="1" x14ac:dyDescent="0.25">
      <c r="A32" s="8" t="s">
        <v>29</v>
      </c>
      <c r="B32" s="9">
        <v>973316</v>
      </c>
      <c r="C32" s="10">
        <v>1557350.5784362133</v>
      </c>
      <c r="D32" s="10">
        <v>1157430.0743713111</v>
      </c>
      <c r="E32" s="10">
        <v>1228258</v>
      </c>
      <c r="F32" s="10">
        <v>1225148.2524397313</v>
      </c>
      <c r="G32" s="11">
        <v>1195219.8678993229</v>
      </c>
      <c r="H32" s="38" t="s">
        <v>29</v>
      </c>
      <c r="I32" s="11">
        <v>1195219.8678993229</v>
      </c>
      <c r="J32" s="11">
        <v>1214354.1480110139</v>
      </c>
      <c r="K32" s="11">
        <v>1197057</v>
      </c>
      <c r="L32" s="11">
        <v>1475948</v>
      </c>
      <c r="M32" s="11">
        <v>933717</v>
      </c>
      <c r="N32" s="11">
        <v>949418</v>
      </c>
      <c r="O32" s="11">
        <f>934348+12454</f>
        <v>946802</v>
      </c>
      <c r="P32" s="11">
        <f>929934+19831</f>
        <v>949765</v>
      </c>
      <c r="Q32" s="11">
        <v>912202</v>
      </c>
      <c r="R32" s="39">
        <v>956506</v>
      </c>
      <c r="S32" s="35">
        <v>989079</v>
      </c>
      <c r="T32" s="31">
        <f t="shared" si="6"/>
        <v>19056790.789056916</v>
      </c>
    </row>
    <row r="33" spans="1:20" ht="12" customHeight="1" thickBot="1" x14ac:dyDescent="0.25">
      <c r="A33" s="8" t="s">
        <v>30</v>
      </c>
      <c r="B33" s="9">
        <v>557126</v>
      </c>
      <c r="C33" s="10">
        <v>891424.07285474497</v>
      </c>
      <c r="D33" s="10">
        <v>662510.44898103131</v>
      </c>
      <c r="E33" s="10">
        <v>703052</v>
      </c>
      <c r="F33" s="10">
        <v>701272.18634184392</v>
      </c>
      <c r="G33" s="11">
        <v>684141.24433663208</v>
      </c>
      <c r="H33" s="38" t="s">
        <v>30</v>
      </c>
      <c r="I33" s="11">
        <v>684141.24433663208</v>
      </c>
      <c r="J33" s="11">
        <v>695093.66452029708</v>
      </c>
      <c r="K33" s="11">
        <v>675022</v>
      </c>
      <c r="L33" s="11">
        <v>830371</v>
      </c>
      <c r="M33" s="11">
        <v>525312</v>
      </c>
      <c r="N33" s="11">
        <v>533523</v>
      </c>
      <c r="O33" s="11">
        <f>525053+6999</f>
        <v>532052</v>
      </c>
      <c r="P33" s="11">
        <f>522574+11145</f>
        <v>533719</v>
      </c>
      <c r="Q33" s="11">
        <v>512608</v>
      </c>
      <c r="R33" s="39">
        <v>537505</v>
      </c>
      <c r="S33" s="35">
        <v>555809</v>
      </c>
      <c r="T33" s="31">
        <f t="shared" si="6"/>
        <v>10814681.861371182</v>
      </c>
    </row>
    <row r="34" spans="1:20" ht="12" customHeight="1" thickBot="1" x14ac:dyDescent="0.25">
      <c r="A34" s="8" t="s">
        <v>31</v>
      </c>
      <c r="B34" s="9">
        <v>971961</v>
      </c>
      <c r="C34" s="10">
        <v>1555166.4268134995</v>
      </c>
      <c r="D34" s="10">
        <v>1155806.8028933795</v>
      </c>
      <c r="E34" s="10">
        <v>1226536</v>
      </c>
      <c r="F34" s="10">
        <v>1223430.0076330171</v>
      </c>
      <c r="G34" s="11">
        <v>1193543.5970261367</v>
      </c>
      <c r="H34" s="38" t="s">
        <v>31</v>
      </c>
      <c r="I34" s="11">
        <v>1193543.5970261367</v>
      </c>
      <c r="J34" s="11">
        <v>1212651.0417100608</v>
      </c>
      <c r="K34" s="11">
        <v>1190996</v>
      </c>
      <c r="L34" s="11">
        <v>1472105</v>
      </c>
      <c r="M34" s="11">
        <v>931286</v>
      </c>
      <c r="N34" s="11">
        <v>945954</v>
      </c>
      <c r="O34" s="11">
        <f>930940+12409</f>
        <v>943349</v>
      </c>
      <c r="P34" s="11">
        <f>926542+19759</f>
        <v>946301</v>
      </c>
      <c r="Q34" s="11">
        <v>908874</v>
      </c>
      <c r="R34" s="39">
        <v>953017</v>
      </c>
      <c r="S34" s="35">
        <v>985472</v>
      </c>
      <c r="T34" s="31">
        <f t="shared" si="6"/>
        <v>19009992.473102231</v>
      </c>
    </row>
    <row r="35" spans="1:20" ht="12" customHeight="1" thickBot="1" x14ac:dyDescent="0.25">
      <c r="A35" s="2" t="s">
        <v>32</v>
      </c>
      <c r="B35" s="3">
        <v>854590</v>
      </c>
      <c r="C35" s="4">
        <v>1367459.3512214918</v>
      </c>
      <c r="D35" s="5">
        <v>1016302.0456019066</v>
      </c>
      <c r="E35" s="5">
        <v>1078493</v>
      </c>
      <c r="F35" s="5">
        <v>1075763.1952810802</v>
      </c>
      <c r="G35" s="6">
        <v>1049484.0453752002</v>
      </c>
      <c r="H35" s="40" t="s">
        <v>32</v>
      </c>
      <c r="I35" s="6">
        <v>1049484.0453752002</v>
      </c>
      <c r="J35" s="6">
        <v>1066285.2400643863</v>
      </c>
      <c r="K35" s="6">
        <v>1057910</v>
      </c>
      <c r="L35" s="6">
        <v>1304695</v>
      </c>
      <c r="M35" s="6">
        <v>825379</v>
      </c>
      <c r="N35" s="6">
        <v>824130</v>
      </c>
      <c r="O35" s="6">
        <f>811049+10811</f>
        <v>821860</v>
      </c>
      <c r="P35" s="6">
        <f>807217+17214</f>
        <v>824431</v>
      </c>
      <c r="Q35" s="6">
        <v>791825</v>
      </c>
      <c r="R35" s="41">
        <v>830283</v>
      </c>
      <c r="S35" s="42">
        <v>858558</v>
      </c>
      <c r="T35" s="31">
        <f t="shared" si="6"/>
        <v>16696931.922919266</v>
      </c>
    </row>
    <row r="36" spans="1:20" ht="12" customHeight="1" thickBot="1" x14ac:dyDescent="0.25">
      <c r="A36" s="2" t="s">
        <v>33</v>
      </c>
      <c r="B36" s="3">
        <v>121250</v>
      </c>
      <c r="C36" s="4">
        <v>193999.60253739968</v>
      </c>
      <c r="D36" s="5">
        <v>144181.39210397715</v>
      </c>
      <c r="E36" s="5">
        <v>153004</v>
      </c>
      <c r="F36" s="5">
        <v>152617.06472113571</v>
      </c>
      <c r="G36" s="6">
        <v>148888.87738437316</v>
      </c>
      <c r="H36" s="40" t="s">
        <v>33</v>
      </c>
      <c r="I36" s="6">
        <v>148888.87738437316</v>
      </c>
      <c r="J36" s="6">
        <v>151272.44007597642</v>
      </c>
      <c r="K36" s="6">
        <v>150112</v>
      </c>
      <c r="L36" s="6">
        <v>185168</v>
      </c>
      <c r="M36" s="6">
        <v>117141</v>
      </c>
      <c r="N36" s="6">
        <v>119650</v>
      </c>
      <c r="O36" s="6">
        <f>117751+1569</f>
        <v>119320</v>
      </c>
      <c r="P36" s="6">
        <f>117194+2499</f>
        <v>119693</v>
      </c>
      <c r="Q36" s="6">
        <v>114959</v>
      </c>
      <c r="R36" s="41">
        <v>120543</v>
      </c>
      <c r="S36" s="42">
        <v>124649</v>
      </c>
      <c r="T36" s="31">
        <f t="shared" si="6"/>
        <v>2385337.2542072353</v>
      </c>
    </row>
    <row r="37" spans="1:20" ht="12" customHeight="1" thickBot="1" x14ac:dyDescent="0.25">
      <c r="A37" s="2" t="s">
        <v>34</v>
      </c>
      <c r="B37" s="3">
        <v>585236</v>
      </c>
      <c r="C37" s="4">
        <v>936406.74492276646</v>
      </c>
      <c r="D37" s="5">
        <v>695941.77664611617</v>
      </c>
      <c r="E37" s="5">
        <v>738529</v>
      </c>
      <c r="F37" s="5">
        <v>736659.4927308422</v>
      </c>
      <c r="G37" s="6">
        <v>718664.09623095987</v>
      </c>
      <c r="H37" s="40" t="s">
        <v>34</v>
      </c>
      <c r="I37" s="6">
        <v>718664.09623095987</v>
      </c>
      <c r="J37" s="6">
        <v>730169.19290214137</v>
      </c>
      <c r="K37" s="6">
        <v>717678</v>
      </c>
      <c r="L37" s="6">
        <v>884672</v>
      </c>
      <c r="M37" s="6">
        <v>559663</v>
      </c>
      <c r="N37" s="6">
        <v>564894</v>
      </c>
      <c r="O37" s="6">
        <f>555927+7410</f>
        <v>563337</v>
      </c>
      <c r="P37" s="6">
        <f>553301+11800</f>
        <v>565101</v>
      </c>
      <c r="Q37" s="6">
        <v>542750</v>
      </c>
      <c r="R37" s="41">
        <v>569111</v>
      </c>
      <c r="S37" s="42">
        <v>588492</v>
      </c>
      <c r="T37" s="31">
        <f t="shared" si="6"/>
        <v>11415968.399663785</v>
      </c>
    </row>
    <row r="38" spans="1:20" ht="12" customHeight="1" thickBot="1" x14ac:dyDescent="0.25">
      <c r="A38" s="2" t="s">
        <v>35</v>
      </c>
      <c r="B38" s="3">
        <v>787363</v>
      </c>
      <c r="C38" s="4">
        <v>1259835.3115569227</v>
      </c>
      <c r="D38" s="5">
        <v>936315.36697095551</v>
      </c>
      <c r="E38" s="5">
        <v>993612</v>
      </c>
      <c r="F38" s="5">
        <v>991096.70724602812</v>
      </c>
      <c r="G38" s="6">
        <v>966885.82230853278</v>
      </c>
      <c r="H38" s="40" t="s">
        <v>35</v>
      </c>
      <c r="I38" s="6">
        <v>966885.82230853278</v>
      </c>
      <c r="J38" s="6">
        <v>982364.70168207458</v>
      </c>
      <c r="K38" s="6">
        <v>1032242</v>
      </c>
      <c r="L38" s="6">
        <v>1276078</v>
      </c>
      <c r="M38" s="6">
        <v>807275</v>
      </c>
      <c r="N38" s="6">
        <v>816557</v>
      </c>
      <c r="O38" s="6">
        <f>803596+10711</f>
        <v>814307</v>
      </c>
      <c r="P38" s="6">
        <f>799799+17056</f>
        <v>816855</v>
      </c>
      <c r="Q38" s="6">
        <v>784548</v>
      </c>
      <c r="R38" s="41">
        <v>822653</v>
      </c>
      <c r="S38" s="42">
        <v>850668</v>
      </c>
      <c r="T38" s="31">
        <f t="shared" si="6"/>
        <v>15905541.732073046</v>
      </c>
    </row>
    <row r="39" spans="1:20" ht="12" customHeight="1" thickBot="1" x14ac:dyDescent="0.25">
      <c r="A39" s="8" t="s">
        <v>36</v>
      </c>
      <c r="B39" s="9">
        <v>485000</v>
      </c>
      <c r="C39" s="10">
        <v>775999.67193563154</v>
      </c>
      <c r="D39" s="10">
        <v>576726.50618106057</v>
      </c>
      <c r="E39" s="10">
        <v>612020</v>
      </c>
      <c r="F39" s="10">
        <v>610469.25151585811</v>
      </c>
      <c r="G39" s="11">
        <v>595556.47792043502</v>
      </c>
      <c r="H39" s="38" t="s">
        <v>36</v>
      </c>
      <c r="I39" s="11">
        <v>595556.47792043502</v>
      </c>
      <c r="J39" s="11">
        <v>605090.74418969487</v>
      </c>
      <c r="K39" s="11">
        <v>600450</v>
      </c>
      <c r="L39" s="11">
        <v>740673</v>
      </c>
      <c r="M39" s="11">
        <v>468566</v>
      </c>
      <c r="N39" s="11">
        <v>478601</v>
      </c>
      <c r="O39" s="11">
        <f>471005+6279</f>
        <v>477284</v>
      </c>
      <c r="P39" s="11">
        <f>468779+9998</f>
        <v>478777</v>
      </c>
      <c r="Q39" s="11">
        <v>459840</v>
      </c>
      <c r="R39" s="39">
        <v>482174</v>
      </c>
      <c r="S39" s="35">
        <v>498594</v>
      </c>
      <c r="T39" s="31">
        <f t="shared" si="6"/>
        <v>9541378.1296631135</v>
      </c>
    </row>
    <row r="40" spans="1:20" ht="12" customHeight="1" thickBot="1" x14ac:dyDescent="0.25">
      <c r="A40" s="8" t="s">
        <v>37</v>
      </c>
      <c r="B40" s="9">
        <v>963013</v>
      </c>
      <c r="C40" s="10">
        <v>1541016.7582420888</v>
      </c>
      <c r="D40" s="10">
        <v>1145290.7044800201</v>
      </c>
      <c r="E40" s="10">
        <v>1215376</v>
      </c>
      <c r="F40" s="10">
        <v>1212298.6400636982</v>
      </c>
      <c r="G40" s="11">
        <v>1182684.1507107655</v>
      </c>
      <c r="H40" s="38" t="s">
        <v>37</v>
      </c>
      <c r="I40" s="11">
        <v>1182684.1507107655</v>
      </c>
      <c r="J40" s="11">
        <v>1201617.7464709585</v>
      </c>
      <c r="K40" s="11">
        <v>1147589</v>
      </c>
      <c r="L40" s="11">
        <v>1406591</v>
      </c>
      <c r="M40" s="11">
        <v>889841</v>
      </c>
      <c r="N40" s="11">
        <v>922927</v>
      </c>
      <c r="O40" s="11">
        <f>908278+12107</f>
        <v>920385</v>
      </c>
      <c r="P40" s="11">
        <f>903987+19278</f>
        <v>923265</v>
      </c>
      <c r="Q40" s="11">
        <v>886749</v>
      </c>
      <c r="R40" s="39">
        <v>929818</v>
      </c>
      <c r="S40" s="35">
        <v>961482</v>
      </c>
      <c r="T40" s="31">
        <f t="shared" si="6"/>
        <v>18632628.150678296</v>
      </c>
    </row>
    <row r="41" spans="1:20" ht="12" customHeight="1" thickBot="1" x14ac:dyDescent="0.25">
      <c r="A41" s="8" t="s">
        <v>38</v>
      </c>
      <c r="B41" s="9">
        <v>824391</v>
      </c>
      <c r="C41" s="10">
        <v>1319073.6422231069</v>
      </c>
      <c r="D41" s="10">
        <v>980341.56532215886</v>
      </c>
      <c r="E41" s="10">
        <v>1040333</v>
      </c>
      <c r="F41" s="10">
        <v>1037698.7622348274</v>
      </c>
      <c r="G41" s="11">
        <v>1012349.4646853885</v>
      </c>
      <c r="H41" s="38" t="s">
        <v>38</v>
      </c>
      <c r="I41" s="11">
        <v>1012349.4646853885</v>
      </c>
      <c r="J41" s="11">
        <v>1028556.1717093068</v>
      </c>
      <c r="K41" s="11">
        <v>1024550</v>
      </c>
      <c r="L41" s="11">
        <v>1264783</v>
      </c>
      <c r="M41" s="11">
        <v>800130</v>
      </c>
      <c r="N41" s="11">
        <v>806333</v>
      </c>
      <c r="O41" s="11">
        <f>793534+10577</f>
        <v>804111</v>
      </c>
      <c r="P41" s="11">
        <f>789786+16843</f>
        <v>806629</v>
      </c>
      <c r="Q41" s="11">
        <v>774726</v>
      </c>
      <c r="R41" s="39">
        <v>812356</v>
      </c>
      <c r="S41" s="35">
        <v>840017</v>
      </c>
      <c r="T41" s="31">
        <f t="shared" si="6"/>
        <v>16188728.070860177</v>
      </c>
    </row>
    <row r="42" spans="1:20" ht="12" customHeight="1" thickBot="1" x14ac:dyDescent="0.25">
      <c r="A42" s="8" t="s">
        <v>39</v>
      </c>
      <c r="B42" s="9">
        <v>2333978</v>
      </c>
      <c r="C42" s="10">
        <v>3734307.4971911442</v>
      </c>
      <c r="D42" s="10">
        <v>2775354.4154068073</v>
      </c>
      <c r="E42" s="10">
        <v>2945190</v>
      </c>
      <c r="F42" s="10">
        <v>2937733.0753941769</v>
      </c>
      <c r="G42" s="11">
        <v>2865969.021548131</v>
      </c>
      <c r="H42" s="38" t="s">
        <v>39</v>
      </c>
      <c r="I42" s="11">
        <v>2865969.021548131</v>
      </c>
      <c r="J42" s="11">
        <v>2911850.3321944415</v>
      </c>
      <c r="K42" s="11">
        <v>2776910</v>
      </c>
      <c r="L42" s="11">
        <v>3404420</v>
      </c>
      <c r="M42" s="11">
        <v>2153712</v>
      </c>
      <c r="N42" s="11">
        <v>2191347</v>
      </c>
      <c r="O42" s="11">
        <f>2156565+28745</f>
        <v>2185310</v>
      </c>
      <c r="P42" s="11">
        <f>2146377+45773</f>
        <v>2192150</v>
      </c>
      <c r="Q42" s="11">
        <v>2105449</v>
      </c>
      <c r="R42" s="39">
        <v>2207709</v>
      </c>
      <c r="S42" s="35">
        <v>2282890</v>
      </c>
      <c r="T42" s="31">
        <f t="shared" si="6"/>
        <v>44870248.36328283</v>
      </c>
    </row>
    <row r="43" spans="1:20" ht="12" customHeight="1" thickBot="1" x14ac:dyDescent="0.25">
      <c r="A43" s="2" t="s">
        <v>40</v>
      </c>
      <c r="B43" s="3">
        <v>1153607</v>
      </c>
      <c r="C43" s="4">
        <v>1845816.3158885234</v>
      </c>
      <c r="D43" s="5">
        <v>1371819.13010227</v>
      </c>
      <c r="E43" s="5">
        <v>1455766</v>
      </c>
      <c r="F43" s="5">
        <v>1452080.6458403938</v>
      </c>
      <c r="G43" s="6">
        <v>1416608.671027669</v>
      </c>
      <c r="H43" s="40" t="s">
        <v>40</v>
      </c>
      <c r="I43" s="6">
        <v>1416608.671027669</v>
      </c>
      <c r="J43" s="6">
        <v>1439287.1654604415</v>
      </c>
      <c r="K43" s="6">
        <v>1501255</v>
      </c>
      <c r="L43" s="6">
        <v>1862657</v>
      </c>
      <c r="M43" s="6">
        <v>1178358</v>
      </c>
      <c r="N43" s="6">
        <v>1218752</v>
      </c>
      <c r="O43" s="6">
        <f>1199407+15987</f>
        <v>1215394</v>
      </c>
      <c r="P43" s="6">
        <f>1193741+25457</f>
        <v>1219198</v>
      </c>
      <c r="Q43" s="6">
        <v>1170978</v>
      </c>
      <c r="R43" s="41">
        <v>1227852</v>
      </c>
      <c r="S43" s="42">
        <v>1269665</v>
      </c>
      <c r="T43" s="31">
        <f t="shared" si="6"/>
        <v>23415702.599346966</v>
      </c>
    </row>
    <row r="44" spans="1:20" ht="12" customHeight="1" thickBot="1" x14ac:dyDescent="0.25">
      <c r="A44" s="2" t="s">
        <v>41</v>
      </c>
      <c r="B44" s="3">
        <v>485000</v>
      </c>
      <c r="C44" s="4">
        <v>775999.67193563154</v>
      </c>
      <c r="D44" s="5">
        <v>576726.50618106057</v>
      </c>
      <c r="E44" s="5">
        <v>612020</v>
      </c>
      <c r="F44" s="5">
        <v>610469.25151585811</v>
      </c>
      <c r="G44" s="6">
        <v>595556.47792043502</v>
      </c>
      <c r="H44" s="40" t="s">
        <v>41</v>
      </c>
      <c r="I44" s="6">
        <v>595556.47792043502</v>
      </c>
      <c r="J44" s="6">
        <v>605090.74418969487</v>
      </c>
      <c r="K44" s="6">
        <v>600450</v>
      </c>
      <c r="L44" s="6">
        <v>740673</v>
      </c>
      <c r="M44" s="6">
        <v>468566</v>
      </c>
      <c r="N44" s="6">
        <v>478601</v>
      </c>
      <c r="O44" s="6">
        <f>471005+6279</f>
        <v>477284</v>
      </c>
      <c r="P44" s="6">
        <f>468779+9998</f>
        <v>478777</v>
      </c>
      <c r="Q44" s="6">
        <v>459840</v>
      </c>
      <c r="R44" s="41">
        <v>482176</v>
      </c>
      <c r="S44" s="42">
        <v>498594</v>
      </c>
      <c r="T44" s="31">
        <f t="shared" si="6"/>
        <v>9541380.1296631135</v>
      </c>
    </row>
    <row r="45" spans="1:20" ht="12" customHeight="1" thickBot="1" x14ac:dyDescent="0.25">
      <c r="A45" s="2" t="s">
        <v>42</v>
      </c>
      <c r="B45" s="3">
        <v>1457720</v>
      </c>
      <c r="C45" s="4">
        <v>2332368.5808383548</v>
      </c>
      <c r="D45" s="5">
        <v>1733426.9992641967</v>
      </c>
      <c r="E45" s="5">
        <v>1839503</v>
      </c>
      <c r="F45" s="5">
        <v>1834845.2367923176</v>
      </c>
      <c r="G45" s="6">
        <v>1790022.9438906193</v>
      </c>
      <c r="H45" s="40" t="s">
        <v>42</v>
      </c>
      <c r="I45" s="6">
        <v>1790022.9438906193</v>
      </c>
      <c r="J45" s="6">
        <v>1818679.4290567795</v>
      </c>
      <c r="K45" s="6">
        <v>1715277</v>
      </c>
      <c r="L45" s="6">
        <v>2107588</v>
      </c>
      <c r="M45" s="6">
        <v>1333307</v>
      </c>
      <c r="N45" s="6">
        <v>1364174</v>
      </c>
      <c r="O45" s="6">
        <f>1342521+17895</f>
        <v>1360416</v>
      </c>
      <c r="P45" s="6">
        <f>1336179+28495</f>
        <v>1364674</v>
      </c>
      <c r="Q45" s="6">
        <v>1310700</v>
      </c>
      <c r="R45" s="41">
        <v>1374359</v>
      </c>
      <c r="S45" s="42">
        <v>1421162</v>
      </c>
      <c r="T45" s="31">
        <f t="shared" si="6"/>
        <v>27948246.133732889</v>
      </c>
    </row>
    <row r="46" spans="1:20" ht="12" customHeight="1" thickBot="1" x14ac:dyDescent="0.25">
      <c r="A46" s="2" t="s">
        <v>43</v>
      </c>
      <c r="B46" s="3">
        <v>737718</v>
      </c>
      <c r="C46" s="4">
        <v>1180378.1215017347</v>
      </c>
      <c r="D46" s="5">
        <v>877262.41982577404</v>
      </c>
      <c r="E46" s="5">
        <v>930946</v>
      </c>
      <c r="F46" s="5">
        <v>928588.728061512</v>
      </c>
      <c r="G46" s="6">
        <v>905904.8116636629</v>
      </c>
      <c r="H46" s="40" t="s">
        <v>43</v>
      </c>
      <c r="I46" s="6">
        <v>905904.8116636629</v>
      </c>
      <c r="J46" s="6">
        <v>920407.44577011117</v>
      </c>
      <c r="K46" s="6">
        <v>905296</v>
      </c>
      <c r="L46" s="6">
        <v>1118216</v>
      </c>
      <c r="M46" s="6">
        <v>707408</v>
      </c>
      <c r="N46" s="6">
        <v>721829</v>
      </c>
      <c r="O46" s="6">
        <f>710371+9469</f>
        <v>719840</v>
      </c>
      <c r="P46" s="6">
        <f>707016+15078</f>
        <v>722094</v>
      </c>
      <c r="Q46" s="6">
        <v>693534</v>
      </c>
      <c r="R46" s="41">
        <v>727218</v>
      </c>
      <c r="S46" s="42">
        <v>751983</v>
      </c>
      <c r="T46" s="31">
        <f t="shared" si="6"/>
        <v>14454528.338486457</v>
      </c>
    </row>
    <row r="47" spans="1:20" ht="12" customHeight="1" thickBot="1" x14ac:dyDescent="0.25">
      <c r="A47" s="8" t="s">
        <v>44</v>
      </c>
      <c r="B47" s="9">
        <v>874020</v>
      </c>
      <c r="C47" s="10">
        <v>1398480.3608369844</v>
      </c>
      <c r="D47" s="10">
        <v>1039357.0018612645</v>
      </c>
      <c r="E47" s="10">
        <v>1102960</v>
      </c>
      <c r="F47" s="10">
        <v>1100167.0361667331</v>
      </c>
      <c r="G47" s="11">
        <v>1073291.7400125649</v>
      </c>
      <c r="H47" s="38" t="s">
        <v>44</v>
      </c>
      <c r="I47" s="11">
        <v>1073291.7400125649</v>
      </c>
      <c r="J47" s="11">
        <v>1090474.0721897057</v>
      </c>
      <c r="K47" s="11">
        <v>1096713</v>
      </c>
      <c r="L47" s="11">
        <v>1352710</v>
      </c>
      <c r="M47" s="11">
        <v>855754</v>
      </c>
      <c r="N47" s="11">
        <v>863637</v>
      </c>
      <c r="O47" s="11">
        <f>849929+11329</f>
        <v>861258</v>
      </c>
      <c r="P47" s="11">
        <f>845914+18040</f>
        <v>863954</v>
      </c>
      <c r="Q47" s="11">
        <v>829784</v>
      </c>
      <c r="R47" s="39">
        <v>870085</v>
      </c>
      <c r="S47" s="35">
        <v>899716</v>
      </c>
      <c r="T47" s="31">
        <f t="shared" si="6"/>
        <v>17245652.951079816</v>
      </c>
    </row>
    <row r="48" spans="1:20" ht="12" customHeight="1" thickBot="1" x14ac:dyDescent="0.25">
      <c r="A48" s="8" t="s">
        <v>45</v>
      </c>
      <c r="B48" s="9">
        <v>1579961</v>
      </c>
      <c r="C48" s="10">
        <v>2527950.46306084</v>
      </c>
      <c r="D48" s="10">
        <v>1878784.3488686513</v>
      </c>
      <c r="E48" s="10">
        <v>1993755</v>
      </c>
      <c r="F48" s="10">
        <v>1988707.0611827886</v>
      </c>
      <c r="G48" s="11">
        <v>1940126.1734846837</v>
      </c>
      <c r="H48" s="38" t="s">
        <v>45</v>
      </c>
      <c r="I48" s="11">
        <v>1940126.1734846837</v>
      </c>
      <c r="J48" s="11">
        <v>1971185.6619123025</v>
      </c>
      <c r="K48" s="11">
        <v>1862294</v>
      </c>
      <c r="L48" s="11">
        <v>2302922</v>
      </c>
      <c r="M48" s="11">
        <v>1456879</v>
      </c>
      <c r="N48" s="11">
        <v>1501075</v>
      </c>
      <c r="O48" s="11">
        <f>1477249+19690</f>
        <v>1496939</v>
      </c>
      <c r="P48" s="11">
        <f>1470270+31354</f>
        <v>1501624</v>
      </c>
      <c r="Q48" s="11">
        <v>1442234</v>
      </c>
      <c r="R48" s="39">
        <v>1512288</v>
      </c>
      <c r="S48" s="35">
        <v>1563782</v>
      </c>
      <c r="T48" s="31">
        <f t="shared" si="6"/>
        <v>30460632.881993949</v>
      </c>
    </row>
    <row r="49" spans="1:20" ht="12" customHeight="1" thickBot="1" x14ac:dyDescent="0.25">
      <c r="A49" s="8" t="s">
        <v>46</v>
      </c>
      <c r="B49" s="9">
        <v>242500</v>
      </c>
      <c r="C49" s="10">
        <v>388000.46686083212</v>
      </c>
      <c r="D49" s="10">
        <v>288363.72197310621</v>
      </c>
      <c r="E49" s="10">
        <v>306009</v>
      </c>
      <c r="F49" s="10">
        <v>305235.12207358668</v>
      </c>
      <c r="G49" s="11">
        <v>297778.7231516887</v>
      </c>
      <c r="H49" s="38" t="s">
        <v>46</v>
      </c>
      <c r="I49" s="11">
        <v>297778.7231516887</v>
      </c>
      <c r="J49" s="11">
        <v>302545.86403774197</v>
      </c>
      <c r="K49" s="11">
        <v>300225</v>
      </c>
      <c r="L49" s="11">
        <v>370336</v>
      </c>
      <c r="M49" s="11">
        <v>234282</v>
      </c>
      <c r="N49" s="11">
        <v>239300</v>
      </c>
      <c r="O49" s="11">
        <f>235502+3139</f>
        <v>238641</v>
      </c>
      <c r="P49" s="11">
        <f>234389+4998</f>
        <v>239387</v>
      </c>
      <c r="Q49" s="11">
        <v>229919</v>
      </c>
      <c r="R49" s="39">
        <v>241087</v>
      </c>
      <c r="S49" s="35">
        <v>249297</v>
      </c>
      <c r="T49" s="31">
        <f t="shared" si="6"/>
        <v>4770685.6212486438</v>
      </c>
    </row>
    <row r="50" spans="1:20" ht="12" customHeight="1" thickBot="1" x14ac:dyDescent="0.25">
      <c r="A50" s="8" t="s">
        <v>47</v>
      </c>
      <c r="B50" s="9">
        <v>485000</v>
      </c>
      <c r="C50" s="10">
        <v>775999.67193563154</v>
      </c>
      <c r="D50" s="10">
        <v>576726.50618106057</v>
      </c>
      <c r="E50" s="10">
        <v>612020</v>
      </c>
      <c r="F50" s="10">
        <v>610469.25151585811</v>
      </c>
      <c r="G50" s="11">
        <v>595556.47792043502</v>
      </c>
      <c r="H50" s="38" t="s">
        <v>47</v>
      </c>
      <c r="I50" s="11">
        <v>595556.47792043502</v>
      </c>
      <c r="J50" s="11">
        <v>605090.74418969487</v>
      </c>
      <c r="K50" s="11">
        <v>600450</v>
      </c>
      <c r="L50" s="11">
        <v>740673</v>
      </c>
      <c r="M50" s="11">
        <v>468566</v>
      </c>
      <c r="N50" s="11">
        <v>478601</v>
      </c>
      <c r="O50" s="11">
        <f>471005+6279</f>
        <v>477284</v>
      </c>
      <c r="P50" s="11">
        <f>468779+9998</f>
        <v>478777</v>
      </c>
      <c r="Q50" s="11">
        <v>459840</v>
      </c>
      <c r="R50" s="39">
        <v>482174</v>
      </c>
      <c r="S50" s="35">
        <v>498594</v>
      </c>
      <c r="T50" s="31">
        <f t="shared" si="6"/>
        <v>9541378.1296631135</v>
      </c>
    </row>
    <row r="51" spans="1:20" ht="12" customHeight="1" thickBot="1" x14ac:dyDescent="0.25">
      <c r="A51" s="2" t="s">
        <v>48</v>
      </c>
      <c r="B51" s="3">
        <v>599985</v>
      </c>
      <c r="C51" s="4">
        <v>960007.19087957649</v>
      </c>
      <c r="D51" s="5">
        <v>713481.7360471749</v>
      </c>
      <c r="E51" s="5">
        <v>757142</v>
      </c>
      <c r="F51" s="5">
        <v>755225.66885145439</v>
      </c>
      <c r="G51" s="6">
        <v>736776.73078443843</v>
      </c>
      <c r="H51" s="40" t="s">
        <v>48</v>
      </c>
      <c r="I51" s="6">
        <v>736776.73078443843</v>
      </c>
      <c r="J51" s="6">
        <v>748571.79270169302</v>
      </c>
      <c r="K51" s="6">
        <v>764441</v>
      </c>
      <c r="L51" s="6">
        <v>948904</v>
      </c>
      <c r="M51" s="6">
        <v>600298</v>
      </c>
      <c r="N51" s="6">
        <v>618621</v>
      </c>
      <c r="O51" s="6">
        <f>608802+8115</f>
        <v>616917</v>
      </c>
      <c r="P51" s="6">
        <f>605926+12922</f>
        <v>618848</v>
      </c>
      <c r="Q51" s="6">
        <v>594372</v>
      </c>
      <c r="R51" s="41">
        <v>623246</v>
      </c>
      <c r="S51" s="42">
        <v>644464</v>
      </c>
      <c r="T51" s="31">
        <f t="shared" si="6"/>
        <v>12038077.850048777</v>
      </c>
    </row>
    <row r="52" spans="1:20" ht="12" customHeight="1" thickBot="1" x14ac:dyDescent="0.25">
      <c r="A52" s="2" t="s">
        <v>49</v>
      </c>
      <c r="B52" s="3">
        <v>485000</v>
      </c>
      <c r="C52" s="4">
        <v>775999.67193563154</v>
      </c>
      <c r="D52" s="5">
        <v>576726.50618106057</v>
      </c>
      <c r="E52" s="5">
        <v>612020</v>
      </c>
      <c r="F52" s="5">
        <v>610469.25151585811</v>
      </c>
      <c r="G52" s="6">
        <v>595556.47792043502</v>
      </c>
      <c r="H52" s="40" t="s">
        <v>49</v>
      </c>
      <c r="I52" s="6">
        <v>595556.47792043502</v>
      </c>
      <c r="J52" s="6">
        <v>605090.74418969487</v>
      </c>
      <c r="K52" s="6">
        <v>600450</v>
      </c>
      <c r="L52" s="6">
        <v>740673</v>
      </c>
      <c r="M52" s="6">
        <v>468566</v>
      </c>
      <c r="N52" s="6">
        <v>478601</v>
      </c>
      <c r="O52" s="6">
        <f>471005+6279</f>
        <v>477284</v>
      </c>
      <c r="P52" s="6">
        <f>468779+9998</f>
        <v>478777</v>
      </c>
      <c r="Q52" s="6">
        <v>459840</v>
      </c>
      <c r="R52" s="41">
        <v>482174</v>
      </c>
      <c r="S52" s="42">
        <v>498594</v>
      </c>
      <c r="T52" s="31">
        <f t="shared" si="6"/>
        <v>9541378.1296631135</v>
      </c>
    </row>
    <row r="53" spans="1:20" ht="12" customHeight="1" thickBot="1" x14ac:dyDescent="0.25">
      <c r="A53" s="2" t="s">
        <v>50</v>
      </c>
      <c r="B53" s="3">
        <v>840636</v>
      </c>
      <c r="C53" s="4">
        <v>1345044.9841354797</v>
      </c>
      <c r="D53" s="5">
        <v>999643.58544362988</v>
      </c>
      <c r="E53" s="5">
        <v>1060816</v>
      </c>
      <c r="F53" s="5">
        <v>1058130.0925968119</v>
      </c>
      <c r="G53" s="6">
        <v>1032281.6907875189</v>
      </c>
      <c r="H53" s="40" t="s">
        <v>50</v>
      </c>
      <c r="I53" s="6">
        <v>1032281.6907875189</v>
      </c>
      <c r="J53" s="6">
        <v>1048807.4929066</v>
      </c>
      <c r="K53" s="6">
        <v>1053983</v>
      </c>
      <c r="L53" s="6">
        <v>1303479</v>
      </c>
      <c r="M53" s="6">
        <v>824609</v>
      </c>
      <c r="N53" s="6">
        <v>846081</v>
      </c>
      <c r="O53" s="6">
        <f>832652+11099</f>
        <v>843751</v>
      </c>
      <c r="P53" s="6">
        <f>828718+17673</f>
        <v>846391</v>
      </c>
      <c r="Q53" s="6">
        <v>812916</v>
      </c>
      <c r="R53" s="41">
        <v>852398</v>
      </c>
      <c r="S53" s="42">
        <v>881426</v>
      </c>
      <c r="T53" s="31">
        <f t="shared" si="6"/>
        <v>16682675.536657559</v>
      </c>
    </row>
    <row r="54" spans="1:20" ht="12" customHeight="1" thickBot="1" x14ac:dyDescent="0.25">
      <c r="A54" s="2" t="s">
        <v>51</v>
      </c>
      <c r="B54" s="3">
        <v>2425000</v>
      </c>
      <c r="C54" s="4">
        <v>3879999.6214641901</v>
      </c>
      <c r="D54" s="5">
        <v>2883633.4686704543</v>
      </c>
      <c r="E54" s="5">
        <v>3060095</v>
      </c>
      <c r="F54" s="5">
        <v>3052347.2502106051</v>
      </c>
      <c r="G54" s="6">
        <v>2977783.357985117</v>
      </c>
      <c r="H54" s="40" t="s">
        <v>51</v>
      </c>
      <c r="I54" s="6">
        <v>2977783.357985117</v>
      </c>
      <c r="J54" s="6">
        <v>3025454.7048342633</v>
      </c>
      <c r="K54" s="6">
        <v>3002250</v>
      </c>
      <c r="L54" s="6">
        <v>3703363</v>
      </c>
      <c r="M54" s="6">
        <v>2342829</v>
      </c>
      <c r="N54" s="6">
        <v>2393003</v>
      </c>
      <c r="O54" s="6">
        <f>2355020+31391</f>
        <v>2386411</v>
      </c>
      <c r="P54" s="6">
        <f>2343894+49985</f>
        <v>2393879</v>
      </c>
      <c r="Q54" s="6">
        <v>2299199</v>
      </c>
      <c r="R54" s="41">
        <v>2410871</v>
      </c>
      <c r="S54" s="42">
        <v>2492970</v>
      </c>
      <c r="T54" s="31">
        <f t="shared" si="6"/>
        <v>47706871.761149749</v>
      </c>
    </row>
    <row r="55" spans="1:20" ht="12" customHeight="1" thickBot="1" x14ac:dyDescent="0.25">
      <c r="A55" s="8" t="s">
        <v>52</v>
      </c>
      <c r="B55" s="9">
        <v>681257</v>
      </c>
      <c r="C55" s="10">
        <v>1090046.8594161903</v>
      </c>
      <c r="D55" s="10">
        <v>810127.81260155467</v>
      </c>
      <c r="E55" s="10">
        <v>859703</v>
      </c>
      <c r="F55" s="10">
        <v>857526.25220209011</v>
      </c>
      <c r="G55" s="11">
        <v>836578.27682172938</v>
      </c>
      <c r="H55" s="38" t="s">
        <v>52</v>
      </c>
      <c r="I55" s="11">
        <v>836578.27682172938</v>
      </c>
      <c r="J55" s="11">
        <v>849971.06212757993</v>
      </c>
      <c r="K55" s="11">
        <v>886192</v>
      </c>
      <c r="L55" s="11">
        <v>1096527</v>
      </c>
      <c r="M55" s="11">
        <v>693687</v>
      </c>
      <c r="N55" s="11">
        <v>696403</v>
      </c>
      <c r="O55" s="11">
        <f>685349+9135</f>
        <v>694484</v>
      </c>
      <c r="P55" s="11">
        <f>682112+14546</f>
        <v>696658</v>
      </c>
      <c r="Q55" s="11">
        <v>669105</v>
      </c>
      <c r="R55" s="39">
        <v>701602</v>
      </c>
      <c r="S55" s="35">
        <v>725495</v>
      </c>
      <c r="T55" s="31">
        <f t="shared" si="6"/>
        <v>13681941.539990874</v>
      </c>
    </row>
    <row r="56" spans="1:20" ht="12" customHeight="1" thickBot="1" x14ac:dyDescent="0.25">
      <c r="A56" s="8" t="s">
        <v>53</v>
      </c>
      <c r="B56" s="9">
        <v>485000</v>
      </c>
      <c r="C56" s="10">
        <v>775999.67193563154</v>
      </c>
      <c r="D56" s="10">
        <v>576726.50618106057</v>
      </c>
      <c r="E56" s="10">
        <v>612020</v>
      </c>
      <c r="F56" s="10">
        <v>610469.25151585811</v>
      </c>
      <c r="G56" s="11">
        <v>595556.47792043502</v>
      </c>
      <c r="H56" s="38" t="s">
        <v>53</v>
      </c>
      <c r="I56" s="11">
        <v>595556.47792043502</v>
      </c>
      <c r="J56" s="11">
        <v>605090.74418969487</v>
      </c>
      <c r="K56" s="11">
        <v>600450</v>
      </c>
      <c r="L56" s="11">
        <v>740673</v>
      </c>
      <c r="M56" s="11">
        <v>468566</v>
      </c>
      <c r="N56" s="11">
        <v>478601</v>
      </c>
      <c r="O56" s="11">
        <f>471005+6279</f>
        <v>477284</v>
      </c>
      <c r="P56" s="11">
        <f>468779+9998</f>
        <v>478777</v>
      </c>
      <c r="Q56" s="11">
        <v>459840</v>
      </c>
      <c r="R56" s="39">
        <v>482174</v>
      </c>
      <c r="S56" s="35">
        <v>498594</v>
      </c>
      <c r="T56" s="31">
        <f t="shared" si="6"/>
        <v>9541378.1296631135</v>
      </c>
    </row>
    <row r="57" spans="1:20" ht="12" customHeight="1" thickBot="1" x14ac:dyDescent="0.25">
      <c r="A57" s="8" t="s">
        <v>54</v>
      </c>
      <c r="B57" s="9">
        <v>121250</v>
      </c>
      <c r="C57" s="10">
        <v>193999.60253739968</v>
      </c>
      <c r="D57" s="10">
        <v>144181.39210397715</v>
      </c>
      <c r="E57" s="10">
        <v>153004</v>
      </c>
      <c r="F57" s="10">
        <v>152617.06472113571</v>
      </c>
      <c r="G57" s="11">
        <v>148888.87738437316</v>
      </c>
      <c r="H57" s="38" t="s">
        <v>54</v>
      </c>
      <c r="I57" s="11">
        <v>148888.87738437316</v>
      </c>
      <c r="J57" s="11">
        <v>151272.44007597642</v>
      </c>
      <c r="K57" s="11">
        <v>150112</v>
      </c>
      <c r="L57" s="11">
        <v>185168</v>
      </c>
      <c r="M57" s="11">
        <v>117141</v>
      </c>
      <c r="N57" s="11">
        <v>119650</v>
      </c>
      <c r="O57" s="11">
        <f>117751+1569</f>
        <v>119320</v>
      </c>
      <c r="P57" s="11">
        <f>117194+2499</f>
        <v>119693</v>
      </c>
      <c r="Q57" s="11">
        <v>114959</v>
      </c>
      <c r="R57" s="39">
        <v>120543</v>
      </c>
      <c r="S57" s="35">
        <v>124649</v>
      </c>
      <c r="T57" s="31">
        <f t="shared" si="6"/>
        <v>2385337.2542072353</v>
      </c>
    </row>
    <row r="58" spans="1:20" ht="12" customHeight="1" thickBot="1" x14ac:dyDescent="0.25">
      <c r="A58" s="8" t="s">
        <v>55</v>
      </c>
      <c r="B58" s="9">
        <v>985074</v>
      </c>
      <c r="C58" s="10">
        <v>1576175.1642590133</v>
      </c>
      <c r="D58" s="10">
        <v>1171420.5926724444</v>
      </c>
      <c r="E58" s="10">
        <v>1243105</v>
      </c>
      <c r="F58" s="10">
        <v>1239957.3190320868</v>
      </c>
      <c r="G58" s="11">
        <v>1209667.1730160543</v>
      </c>
      <c r="H58" s="38" t="s">
        <v>55</v>
      </c>
      <c r="I58" s="11">
        <v>1209667.1730160543</v>
      </c>
      <c r="J58" s="11">
        <v>1229032.7400987765</v>
      </c>
      <c r="K58" s="11">
        <v>1240686</v>
      </c>
      <c r="L58" s="11">
        <v>1536444</v>
      </c>
      <c r="M58" s="11">
        <v>971988</v>
      </c>
      <c r="N58" s="11">
        <v>1004941</v>
      </c>
      <c r="O58" s="11">
        <f>988990+13183</f>
        <v>1002173</v>
      </c>
      <c r="P58" s="11">
        <f>984318+20991</f>
        <v>1005309</v>
      </c>
      <c r="Q58" s="11">
        <v>965548</v>
      </c>
      <c r="R58" s="39">
        <v>1012448</v>
      </c>
      <c r="S58" s="35">
        <v>1046922</v>
      </c>
      <c r="T58" s="31">
        <f t="shared" si="6"/>
        <v>19650558.162094429</v>
      </c>
    </row>
    <row r="59" spans="1:20" ht="12" customHeight="1" thickBot="1" x14ac:dyDescent="0.25">
      <c r="A59" s="2" t="s">
        <v>56</v>
      </c>
      <c r="B59" s="3">
        <v>996614</v>
      </c>
      <c r="C59" s="4">
        <v>1594413.0195765779</v>
      </c>
      <c r="D59" s="5">
        <v>1184975.050177946</v>
      </c>
      <c r="E59" s="5">
        <v>1257489</v>
      </c>
      <c r="F59" s="5">
        <v>1254304.8120628463</v>
      </c>
      <c r="G59" s="6">
        <v>1223664.180064599</v>
      </c>
      <c r="H59" s="40" t="s">
        <v>56</v>
      </c>
      <c r="I59" s="6">
        <v>1223664.180064599</v>
      </c>
      <c r="J59" s="6">
        <v>1243253.825294602</v>
      </c>
      <c r="K59" s="6">
        <v>1261395</v>
      </c>
      <c r="L59" s="6">
        <v>1564024</v>
      </c>
      <c r="M59" s="6">
        <v>989436</v>
      </c>
      <c r="N59" s="6">
        <v>1012030</v>
      </c>
      <c r="O59" s="6">
        <f>995967+13276</f>
        <v>1009243</v>
      </c>
      <c r="P59" s="6">
        <f>991261+21139</f>
        <v>1012400</v>
      </c>
      <c r="Q59" s="6">
        <v>972360</v>
      </c>
      <c r="R59" s="41">
        <v>1019586</v>
      </c>
      <c r="S59" s="42">
        <v>1054307</v>
      </c>
      <c r="T59" s="31">
        <f t="shared" si="6"/>
        <v>19873159.06724117</v>
      </c>
    </row>
    <row r="60" spans="1:20" ht="12" customHeight="1" thickBot="1" x14ac:dyDescent="0.25">
      <c r="A60" s="2" t="s">
        <v>57</v>
      </c>
      <c r="B60" s="3">
        <v>485000</v>
      </c>
      <c r="C60" s="4">
        <v>775999.67193563154</v>
      </c>
      <c r="D60" s="5">
        <v>576726.50618106057</v>
      </c>
      <c r="E60" s="5">
        <v>612020</v>
      </c>
      <c r="F60" s="5">
        <v>610469.25151585811</v>
      </c>
      <c r="G60" s="6">
        <v>595556.47792043502</v>
      </c>
      <c r="H60" s="40" t="s">
        <v>57</v>
      </c>
      <c r="I60" s="6">
        <v>595556.47792043502</v>
      </c>
      <c r="J60" s="6">
        <v>605090.74418969487</v>
      </c>
      <c r="K60" s="6">
        <v>600450</v>
      </c>
      <c r="L60" s="6">
        <v>740673</v>
      </c>
      <c r="M60" s="6">
        <v>468566</v>
      </c>
      <c r="N60" s="6">
        <v>478601</v>
      </c>
      <c r="O60" s="6">
        <f>471005+6279</f>
        <v>477284</v>
      </c>
      <c r="P60" s="6">
        <f>468779+9998</f>
        <v>478777</v>
      </c>
      <c r="Q60" s="6">
        <v>459840</v>
      </c>
      <c r="R60" s="41">
        <v>482174</v>
      </c>
      <c r="S60" s="42">
        <v>498594</v>
      </c>
      <c r="T60" s="31">
        <f t="shared" si="6"/>
        <v>9541378.1296631135</v>
      </c>
    </row>
    <row r="61" spans="1:20" ht="12" customHeight="1" thickBot="1" x14ac:dyDescent="0.25">
      <c r="A61" s="2" t="s">
        <v>58</v>
      </c>
      <c r="B61" s="3">
        <v>876862</v>
      </c>
      <c r="C61" s="4">
        <v>1402995.0312622124</v>
      </c>
      <c r="D61" s="5">
        <v>1042712.3255747476</v>
      </c>
      <c r="E61" s="5">
        <v>1106520</v>
      </c>
      <c r="F61" s="5">
        <v>1103718.6710127313</v>
      </c>
      <c r="G61" s="6">
        <v>1076756.614180248</v>
      </c>
      <c r="H61" s="40" t="s">
        <v>58</v>
      </c>
      <c r="I61" s="6">
        <v>1076756.614180248</v>
      </c>
      <c r="J61" s="6">
        <v>1093994.4155431488</v>
      </c>
      <c r="K61" s="6">
        <v>1068828</v>
      </c>
      <c r="L61" s="6">
        <v>1314232</v>
      </c>
      <c r="M61" s="6">
        <v>831412</v>
      </c>
      <c r="N61" s="6">
        <v>848733</v>
      </c>
      <c r="O61" s="6">
        <f>835261+11134</f>
        <v>846395</v>
      </c>
      <c r="P61" s="6">
        <f>831315+17728</f>
        <v>849043</v>
      </c>
      <c r="Q61" s="6">
        <v>815464</v>
      </c>
      <c r="R61" s="41">
        <v>855070</v>
      </c>
      <c r="S61" s="42">
        <v>884189</v>
      </c>
      <c r="T61" s="31">
        <f t="shared" si="6"/>
        <v>17093681.671753336</v>
      </c>
    </row>
    <row r="62" spans="1:20" ht="12" customHeight="1" thickBot="1" x14ac:dyDescent="0.25">
      <c r="A62" s="2" t="s">
        <v>59</v>
      </c>
      <c r="B62" s="3">
        <v>485000</v>
      </c>
      <c r="C62" s="4">
        <v>775999.67193563154</v>
      </c>
      <c r="D62" s="5">
        <v>576726.50618106057</v>
      </c>
      <c r="E62" s="5">
        <v>612020</v>
      </c>
      <c r="F62" s="5">
        <v>610469.25151585811</v>
      </c>
      <c r="G62" s="6">
        <v>595556.47792043502</v>
      </c>
      <c r="H62" s="40" t="s">
        <v>59</v>
      </c>
      <c r="I62" s="6">
        <v>595556.47792043502</v>
      </c>
      <c r="J62" s="6">
        <v>605090.74418969487</v>
      </c>
      <c r="K62" s="6">
        <v>600450</v>
      </c>
      <c r="L62" s="6">
        <v>740673</v>
      </c>
      <c r="M62" s="6">
        <v>468566</v>
      </c>
      <c r="N62" s="6">
        <v>538710</v>
      </c>
      <c r="O62" s="6">
        <f>530159+7067</f>
        <v>537226</v>
      </c>
      <c r="P62" s="6">
        <f>527655+11254</f>
        <v>538909</v>
      </c>
      <c r="Q62" s="6">
        <v>517593</v>
      </c>
      <c r="R62" s="41">
        <v>542736</v>
      </c>
      <c r="S62" s="42">
        <v>561214</v>
      </c>
      <c r="T62" s="31">
        <f t="shared" si="6"/>
        <v>9902496.1296631135</v>
      </c>
    </row>
    <row r="63" spans="1:20" x14ac:dyDescent="0.2">
      <c r="N63" s="27"/>
      <c r="O63" s="27"/>
      <c r="P63" s="27"/>
      <c r="Q63" s="27"/>
      <c r="R63" s="32"/>
      <c r="S63" s="32"/>
    </row>
  </sheetData>
  <printOptions horizontalCentered="1"/>
  <pageMargins left="0.7" right="0.7" top="1" bottom="0.5" header="0.3" footer="0.3"/>
  <pageSetup paperSize="5" scale="69" orientation="landscape" r:id="rId1"/>
  <headerFooter>
    <oddHeader xml:space="preserve">&amp;C&amp;14Approximate State and Tribal Wildlife Grants Apportionments&amp;9
&amp;"-,Italic"&amp;10FY2001-FY2017&amp;"-,Regular"&amp;14
</oddHeader>
    <oddFooter>&amp;CAssociation of Fish &amp; Wildlife Agencies     &amp;"-,Italic"&amp;10www.fishwildlife.org</oddFooter>
  </headerFooter>
  <colBreaks count="2" manualBreakCount="2">
    <brk id="7" max="61" man="1"/>
    <brk id="1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Skipper</dc:creator>
  <cp:lastModifiedBy>Mark Humpert</cp:lastModifiedBy>
  <cp:lastPrinted>2017-07-07T19:56:12Z</cp:lastPrinted>
  <dcterms:created xsi:type="dcterms:W3CDTF">2011-04-11T13:04:07Z</dcterms:created>
  <dcterms:modified xsi:type="dcterms:W3CDTF">2017-07-11T16:42:45Z</dcterms:modified>
</cp:coreProperties>
</file>